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1595" windowHeight="5385"/>
  </bookViews>
  <sheets>
    <sheet name="PARTICIPACIONES 2015" sheetId="35" r:id="rId1"/>
    <sheet name="COEF DIST PART" sheetId="1" r:id="rId2"/>
    <sheet name="COEF DIST GASOLINAS" sheetId="36" r:id="rId3"/>
    <sheet name="COEF DIST TEN" sheetId="37" r:id="rId4"/>
    <sheet name="CALCULO GARANTIA" sheetId="28" r:id="rId5"/>
    <sheet name="PART 1 SEM Y PEF" sheetId="38" r:id="rId6"/>
  </sheets>
  <externalReferences>
    <externalReference r:id="rId7"/>
    <externalReference r:id="rId8"/>
  </externalReferences>
  <definedNames>
    <definedName name="A_impresión_IM" localSheetId="4">#REF!</definedName>
    <definedName name="A_impresión_IM" localSheetId="2">#REF!</definedName>
    <definedName name="A_impresión_IM" localSheetId="3">#REF!</definedName>
    <definedName name="A_impresión_IM" localSheetId="5">#REF!</definedName>
    <definedName name="A_impresión_IM">#REF!</definedName>
    <definedName name="AJUSTES" localSheetId="4" hidden="1">{"'beneficiarios'!$A$1:$C$7"}</definedName>
    <definedName name="AJUSTES" hidden="1">{"'beneficiarios'!$A$1:$C$7"}</definedName>
    <definedName name="_xlnm.Print_Area" localSheetId="4">'CALCULO GARANTIA'!$A$1:$N$61</definedName>
    <definedName name="_xlnm.Print_Area" localSheetId="2">'COEF DIST GASOLINAS'!$A$3:$N$63</definedName>
    <definedName name="_xlnm.Print_Area" localSheetId="1">'COEF DIST PART'!$A$3:$AQ$61</definedName>
    <definedName name="_xlnm.Print_Area" localSheetId="3">'COEF DIST TEN'!$A$1:$AP$62</definedName>
    <definedName name="_xlnm.Print_Area" localSheetId="5">'PART 1 SEM Y PEF'!#REF!</definedName>
    <definedName name="_xlnm.Print_Area" localSheetId="0">'PARTICIPACIONES 2015'!$A$1:$O$32</definedName>
    <definedName name="_xlnm.Database" localSheetId="4">#REF!</definedName>
    <definedName name="_xlnm.Database" localSheetId="2">#REF!</definedName>
    <definedName name="_xlnm.Database" localSheetId="3">#REF!</definedName>
    <definedName name="_xlnm.Database" localSheetId="5">#REF!</definedName>
    <definedName name="_xlnm.Database">#REF!</definedName>
    <definedName name="cierre_2001" localSheetId="2">'[1]deuda c sadm'!#REF!</definedName>
    <definedName name="cierre_2001" localSheetId="3">'[1]deuda c sadm'!#REF!</definedName>
    <definedName name="cierre_2001" localSheetId="5">'[1]deuda c sadm'!#REF!</definedName>
    <definedName name="cierre_2001">'[1]deuda c sadm'!#REF!</definedName>
    <definedName name="deuda" localSheetId="2">'[1]deuda c sadm'!#REF!</definedName>
    <definedName name="deuda" localSheetId="3">'[1]deuda c sadm'!#REF!</definedName>
    <definedName name="deuda" localSheetId="5">'[1]deuda c sadm'!#REF!</definedName>
    <definedName name="deuda">'[1]deuda c sadm'!#REF!</definedName>
    <definedName name="Deuda_ingTot" localSheetId="2">'[1]deuda c sadm'!#REF!</definedName>
    <definedName name="Deuda_ingTot" localSheetId="3">'[1]deuda c sadm'!#REF!</definedName>
    <definedName name="Deuda_ingTot" localSheetId="5">'[1]deuda c sadm'!#REF!</definedName>
    <definedName name="Deuda_ingTot">'[1]deuda c sadm'!#REF!</definedName>
    <definedName name="ENERO" localSheetId="4">#REF!</definedName>
    <definedName name="ENERO" localSheetId="2">#REF!</definedName>
    <definedName name="ENERO" localSheetId="3">#REF!</definedName>
    <definedName name="ENERO" localSheetId="5">#REF!</definedName>
    <definedName name="ENERO">#REF!</definedName>
    <definedName name="Fto_1" localSheetId="4">#REF!</definedName>
    <definedName name="Fto_1" localSheetId="2">#REF!</definedName>
    <definedName name="Fto_1" localSheetId="3">#REF!</definedName>
    <definedName name="Fto_1" localSheetId="5">#REF!</definedName>
    <definedName name="Fto_1">#REF!</definedName>
    <definedName name="HTML_CodePage" hidden="1">1252</definedName>
    <definedName name="HTML_Control" localSheetId="4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DICADORES" localSheetId="4" hidden="1">{"'beneficiarios'!$A$1:$C$7"}</definedName>
    <definedName name="INDICADORES" hidden="1">{"'beneficiarios'!$A$1:$C$7"}</definedName>
    <definedName name="ingresofederales" localSheetId="4" hidden="1">{"'beneficiarios'!$A$1:$C$7"}</definedName>
    <definedName name="ingresofederales" hidden="1">{"'beneficiarios'!$A$1:$C$7"}</definedName>
    <definedName name="Notas_Fto_1" localSheetId="2">#REF!</definedName>
    <definedName name="Notas_Fto_1" localSheetId="3">#REF!</definedName>
    <definedName name="Notas_Fto_1" localSheetId="5">#REF!</definedName>
    <definedName name="Notas_Fto_1">#REF!</definedName>
    <definedName name="Partidas">[2]TECHO!$B$1:$Q$2798</definedName>
    <definedName name="SINAJUSTE" localSheetId="4" hidden="1">{"'beneficiarios'!$A$1:$C$7"}</definedName>
    <definedName name="SINAJUSTE" hidden="1">{"'beneficiarios'!$A$1:$C$7"}</definedName>
    <definedName name="t">#REF!</definedName>
    <definedName name="_xlnm.Print_Titles" localSheetId="1">'COEF DIST PART'!$A:$A,'COEF DIST PART'!$3:$3</definedName>
    <definedName name="_xlnm.Print_Titles" localSheetId="3">'COEF DIST TEN'!$A:$A</definedName>
    <definedName name="TOT" localSheetId="2">#REF!</definedName>
    <definedName name="TOT" localSheetId="3">#REF!</definedName>
    <definedName name="TOT" localSheetId="5">#REF!</definedName>
    <definedName name="TOT">#REF!</definedName>
    <definedName name="TOTAL" localSheetId="2">#REF!</definedName>
    <definedName name="TOTAL" localSheetId="3">#REF!</definedName>
    <definedName name="TOTAL" localSheetId="5">#REF!</definedName>
    <definedName name="TOTAL">#REF!</definedName>
  </definedNames>
  <calcPr calcId="125725"/>
</workbook>
</file>

<file path=xl/calcChain.xml><?xml version="1.0" encoding="utf-8"?>
<calcChain xmlns="http://schemas.openxmlformats.org/spreadsheetml/2006/main">
  <c r="P21" i="38"/>
  <c r="C57" i="28" l="1"/>
  <c r="C55"/>
  <c r="C44"/>
  <c r="C38"/>
  <c r="C33"/>
  <c r="C32"/>
  <c r="C26"/>
  <c r="C17"/>
  <c r="C16"/>
  <c r="C15"/>
  <c r="C14"/>
  <c r="C12"/>
  <c r="C11"/>
  <c r="C8" l="1"/>
  <c r="C10"/>
  <c r="C18"/>
  <c r="C20"/>
  <c r="C22"/>
  <c r="C24"/>
  <c r="C28"/>
  <c r="C30"/>
  <c r="C34"/>
  <c r="C36"/>
  <c r="C40"/>
  <c r="C42"/>
  <c r="C46"/>
  <c r="C48"/>
  <c r="C50"/>
  <c r="C52"/>
  <c r="C54"/>
  <c r="C56"/>
  <c r="C9"/>
  <c r="C13"/>
  <c r="C19"/>
  <c r="C21"/>
  <c r="C23"/>
  <c r="C25"/>
  <c r="C27"/>
  <c r="C29"/>
  <c r="C31"/>
  <c r="C35"/>
  <c r="C37"/>
  <c r="C39"/>
  <c r="C41"/>
  <c r="C43"/>
  <c r="C45"/>
  <c r="C47"/>
  <c r="C49"/>
  <c r="C51"/>
  <c r="C53"/>
  <c r="N21" i="38"/>
  <c r="N19"/>
  <c r="B58" i="28" l="1"/>
  <c r="N20" i="38"/>
  <c r="O17"/>
  <c r="N17"/>
  <c r="P17" l="1"/>
  <c r="N18"/>
  <c r="N16"/>
  <c r="N15"/>
  <c r="N7" l="1"/>
  <c r="P27" s="1"/>
  <c r="C11" i="35" s="1"/>
  <c r="N11" i="38"/>
  <c r="N10"/>
  <c r="O21"/>
  <c r="O20"/>
  <c r="P20" s="1"/>
  <c r="O19"/>
  <c r="P19" s="1"/>
  <c r="O18"/>
  <c r="P18" s="1"/>
  <c r="O16"/>
  <c r="P16" s="1"/>
  <c r="O15"/>
  <c r="P15" s="1"/>
  <c r="N6" l="1"/>
  <c r="P26" s="1"/>
  <c r="C9" i="35" s="1"/>
  <c r="N5" i="38"/>
  <c r="P30"/>
  <c r="C17" i="35" s="1"/>
  <c r="P31" i="38"/>
  <c r="C19" i="35" s="1"/>
  <c r="N8" i="38"/>
  <c r="N9"/>
  <c r="P25" l="1"/>
  <c r="C7" i="35" s="1"/>
  <c r="N12" i="38"/>
  <c r="P28"/>
  <c r="C13" i="35" s="1"/>
  <c r="P29" i="38"/>
  <c r="C15" i="35" s="1"/>
  <c r="AC57" i="37"/>
  <c r="AB57"/>
  <c r="AA57"/>
  <c r="Z57"/>
  <c r="AD57" s="1"/>
  <c r="AC56"/>
  <c r="AB56"/>
  <c r="AA56"/>
  <c r="Z56"/>
  <c r="AD56" s="1"/>
  <c r="AC55"/>
  <c r="AB55"/>
  <c r="AA55"/>
  <c r="Z55"/>
  <c r="AD55" s="1"/>
  <c r="AC54"/>
  <c r="AB54"/>
  <c r="AA54"/>
  <c r="Z54"/>
  <c r="AD54" s="1"/>
  <c r="AC53"/>
  <c r="AB53"/>
  <c r="AA53"/>
  <c r="Z53"/>
  <c r="AD53" s="1"/>
  <c r="AC52"/>
  <c r="AB52"/>
  <c r="AA52"/>
  <c r="Z52"/>
  <c r="AD52" s="1"/>
  <c r="AC51"/>
  <c r="AB51"/>
  <c r="AA51"/>
  <c r="Z51"/>
  <c r="AD51" s="1"/>
  <c r="AC50"/>
  <c r="AB50"/>
  <c r="AA50"/>
  <c r="Z50"/>
  <c r="AD50" s="1"/>
  <c r="AC49"/>
  <c r="AB49"/>
  <c r="AA49"/>
  <c r="Z49"/>
  <c r="AD49" s="1"/>
  <c r="AC48"/>
  <c r="AB48"/>
  <c r="AA48"/>
  <c r="Z48"/>
  <c r="AD48" s="1"/>
  <c r="AC47"/>
  <c r="AB47"/>
  <c r="AA47"/>
  <c r="Z47"/>
  <c r="AD47" s="1"/>
  <c r="AC46"/>
  <c r="AB46"/>
  <c r="AA46"/>
  <c r="Z46"/>
  <c r="AD46" s="1"/>
  <c r="AC45"/>
  <c r="AB45"/>
  <c r="AA45"/>
  <c r="Z45"/>
  <c r="AD45" s="1"/>
  <c r="AC44"/>
  <c r="AB44"/>
  <c r="AA44"/>
  <c r="Z44"/>
  <c r="AD44" s="1"/>
  <c r="AC43"/>
  <c r="AB43"/>
  <c r="AA43"/>
  <c r="Z43"/>
  <c r="AD43" s="1"/>
  <c r="AC42"/>
  <c r="AB42"/>
  <c r="AA42"/>
  <c r="Z42"/>
  <c r="AD42" s="1"/>
  <c r="AC41"/>
  <c r="AB41"/>
  <c r="AA41"/>
  <c r="Z41"/>
  <c r="AD41" s="1"/>
  <c r="AC40"/>
  <c r="AB40"/>
  <c r="AA40"/>
  <c r="Z40"/>
  <c r="AD40" s="1"/>
  <c r="AC39"/>
  <c r="AB39"/>
  <c r="AA39"/>
  <c r="Z39"/>
  <c r="AD39" s="1"/>
  <c r="AC38"/>
  <c r="AB38"/>
  <c r="AA38"/>
  <c r="Z38"/>
  <c r="AD38" s="1"/>
  <c r="AC37"/>
  <c r="AB37"/>
  <c r="AA37"/>
  <c r="Z37"/>
  <c r="AD37" s="1"/>
  <c r="AC36"/>
  <c r="AB36"/>
  <c r="AA36"/>
  <c r="Z36"/>
  <c r="AD36" s="1"/>
  <c r="AC35"/>
  <c r="AB35"/>
  <c r="AA35"/>
  <c r="Z35"/>
  <c r="AD35" s="1"/>
  <c r="AC34"/>
  <c r="AB34"/>
  <c r="AA34"/>
  <c r="Z34"/>
  <c r="AD34" s="1"/>
  <c r="AC33"/>
  <c r="AB33"/>
  <c r="AA33"/>
  <c r="Z33"/>
  <c r="AD33" s="1"/>
  <c r="AC32"/>
  <c r="AB32"/>
  <c r="AA32"/>
  <c r="Z32"/>
  <c r="AD32" s="1"/>
  <c r="AC31"/>
  <c r="AB31"/>
  <c r="AA31"/>
  <c r="Z31"/>
  <c r="AD31" s="1"/>
  <c r="AC30"/>
  <c r="AB30"/>
  <c r="AA30"/>
  <c r="Z30"/>
  <c r="AC29"/>
  <c r="AB29"/>
  <c r="AA29"/>
  <c r="Z29"/>
  <c r="AC28"/>
  <c r="AB28"/>
  <c r="AA28"/>
  <c r="Z28"/>
  <c r="AC27"/>
  <c r="AB27"/>
  <c r="AA27"/>
  <c r="Z27"/>
  <c r="AC26"/>
  <c r="AB26"/>
  <c r="AA26"/>
  <c r="Z26"/>
  <c r="AC25"/>
  <c r="AB25"/>
  <c r="AA25"/>
  <c r="Z25"/>
  <c r="AC24"/>
  <c r="AB24"/>
  <c r="AA24"/>
  <c r="Z24"/>
  <c r="AC23"/>
  <c r="AB23"/>
  <c r="AA23"/>
  <c r="Z23"/>
  <c r="AC22"/>
  <c r="AB22"/>
  <c r="AA22"/>
  <c r="Z22"/>
  <c r="AC21"/>
  <c r="AB21"/>
  <c r="AA21"/>
  <c r="Z21"/>
  <c r="AC20"/>
  <c r="AB20"/>
  <c r="AA20"/>
  <c r="Z20"/>
  <c r="AC19"/>
  <c r="AB19"/>
  <c r="AA19"/>
  <c r="Z19"/>
  <c r="AC18"/>
  <c r="AB18"/>
  <c r="AA18"/>
  <c r="Z18"/>
  <c r="AC17"/>
  <c r="AB17"/>
  <c r="AA17"/>
  <c r="Z17"/>
  <c r="AC16"/>
  <c r="AB16"/>
  <c r="AA16"/>
  <c r="Z16"/>
  <c r="AC15"/>
  <c r="AB15"/>
  <c r="AA15"/>
  <c r="Z15"/>
  <c r="AC14"/>
  <c r="AB14"/>
  <c r="AA14"/>
  <c r="Z14"/>
  <c r="AC13"/>
  <c r="AB13"/>
  <c r="AA13"/>
  <c r="Z13"/>
  <c r="AC12"/>
  <c r="AB12"/>
  <c r="AA12"/>
  <c r="Z12"/>
  <c r="AC11"/>
  <c r="AB11"/>
  <c r="AA11"/>
  <c r="Z11"/>
  <c r="AC10"/>
  <c r="AB10"/>
  <c r="AA10"/>
  <c r="Z10"/>
  <c r="AC9"/>
  <c r="AB9"/>
  <c r="AA9"/>
  <c r="Z9"/>
  <c r="AC8"/>
  <c r="AB8"/>
  <c r="AA8"/>
  <c r="Z8"/>
  <c r="AC7"/>
  <c r="AC58" s="1"/>
  <c r="AB7"/>
  <c r="AB58" s="1"/>
  <c r="AA7"/>
  <c r="AA58" s="1"/>
  <c r="Z7"/>
  <c r="Z58" s="1"/>
  <c r="T57"/>
  <c r="S57"/>
  <c r="R57"/>
  <c r="Q57"/>
  <c r="T56"/>
  <c r="S56"/>
  <c r="R56"/>
  <c r="Q56"/>
  <c r="T55"/>
  <c r="S55"/>
  <c r="R55"/>
  <c r="Q55"/>
  <c r="T54"/>
  <c r="S54"/>
  <c r="R54"/>
  <c r="Q54"/>
  <c r="T53"/>
  <c r="S53"/>
  <c r="R53"/>
  <c r="Q53"/>
  <c r="T52"/>
  <c r="S52"/>
  <c r="R52"/>
  <c r="Q52"/>
  <c r="T51"/>
  <c r="S51"/>
  <c r="R51"/>
  <c r="Q51"/>
  <c r="T50"/>
  <c r="S50"/>
  <c r="R50"/>
  <c r="Q50"/>
  <c r="T49"/>
  <c r="S49"/>
  <c r="R49"/>
  <c r="Q49"/>
  <c r="T48"/>
  <c r="S48"/>
  <c r="R48"/>
  <c r="Q48"/>
  <c r="T47"/>
  <c r="S47"/>
  <c r="R47"/>
  <c r="Q47"/>
  <c r="T46"/>
  <c r="S46"/>
  <c r="R46"/>
  <c r="Q46"/>
  <c r="T45"/>
  <c r="S45"/>
  <c r="R45"/>
  <c r="Q45"/>
  <c r="T44"/>
  <c r="S44"/>
  <c r="R44"/>
  <c r="Q44"/>
  <c r="T43"/>
  <c r="S43"/>
  <c r="R43"/>
  <c r="Q43"/>
  <c r="T42"/>
  <c r="S42"/>
  <c r="R42"/>
  <c r="Q42"/>
  <c r="T41"/>
  <c r="S41"/>
  <c r="R41"/>
  <c r="Q41"/>
  <c r="T40"/>
  <c r="S40"/>
  <c r="R40"/>
  <c r="Q40"/>
  <c r="T39"/>
  <c r="S39"/>
  <c r="R39"/>
  <c r="Q39"/>
  <c r="T38"/>
  <c r="S38"/>
  <c r="R38"/>
  <c r="Q38"/>
  <c r="T37"/>
  <c r="S37"/>
  <c r="R37"/>
  <c r="Q37"/>
  <c r="T36"/>
  <c r="S36"/>
  <c r="R36"/>
  <c r="Q36"/>
  <c r="T35"/>
  <c r="S35"/>
  <c r="R35"/>
  <c r="Q35"/>
  <c r="T34"/>
  <c r="S34"/>
  <c r="R34"/>
  <c r="Q34"/>
  <c r="T33"/>
  <c r="S33"/>
  <c r="R33"/>
  <c r="Q33"/>
  <c r="T32"/>
  <c r="S32"/>
  <c r="R32"/>
  <c r="Q32"/>
  <c r="T31"/>
  <c r="S31"/>
  <c r="R31"/>
  <c r="Q31"/>
  <c r="T30"/>
  <c r="S30"/>
  <c r="R30"/>
  <c r="Q30"/>
  <c r="T29"/>
  <c r="S29"/>
  <c r="R29"/>
  <c r="Q29"/>
  <c r="T28"/>
  <c r="S28"/>
  <c r="R28"/>
  <c r="Q28"/>
  <c r="T27"/>
  <c r="S27"/>
  <c r="R27"/>
  <c r="Q27"/>
  <c r="U27" s="1"/>
  <c r="T26"/>
  <c r="S26"/>
  <c r="R26"/>
  <c r="Q26"/>
  <c r="U26" s="1"/>
  <c r="T25"/>
  <c r="S25"/>
  <c r="R25"/>
  <c r="Q25"/>
  <c r="U25" s="1"/>
  <c r="T24"/>
  <c r="S24"/>
  <c r="R24"/>
  <c r="Q24"/>
  <c r="U24" s="1"/>
  <c r="T23"/>
  <c r="S23"/>
  <c r="R23"/>
  <c r="Q23"/>
  <c r="T22"/>
  <c r="S22"/>
  <c r="R22"/>
  <c r="Q22"/>
  <c r="U22" s="1"/>
  <c r="T21"/>
  <c r="S21"/>
  <c r="R21"/>
  <c r="Q21"/>
  <c r="U21" s="1"/>
  <c r="T20"/>
  <c r="S20"/>
  <c r="R20"/>
  <c r="Q20"/>
  <c r="U20" s="1"/>
  <c r="T19"/>
  <c r="S19"/>
  <c r="R19"/>
  <c r="Q19"/>
  <c r="U19" s="1"/>
  <c r="T18"/>
  <c r="S18"/>
  <c r="R18"/>
  <c r="Q18"/>
  <c r="U18" s="1"/>
  <c r="T17"/>
  <c r="S17"/>
  <c r="R17"/>
  <c r="Q17"/>
  <c r="T16"/>
  <c r="S16"/>
  <c r="R16"/>
  <c r="Q16"/>
  <c r="U16" s="1"/>
  <c r="T15"/>
  <c r="S15"/>
  <c r="R15"/>
  <c r="Q15"/>
  <c r="U15" s="1"/>
  <c r="T14"/>
  <c r="S14"/>
  <c r="R14"/>
  <c r="Q14"/>
  <c r="U14" s="1"/>
  <c r="T13"/>
  <c r="S13"/>
  <c r="R13"/>
  <c r="Q13"/>
  <c r="U13" s="1"/>
  <c r="T12"/>
  <c r="S12"/>
  <c r="R12"/>
  <c r="Q12"/>
  <c r="U12" s="1"/>
  <c r="T11"/>
  <c r="S11"/>
  <c r="R11"/>
  <c r="Q11"/>
  <c r="U11" s="1"/>
  <c r="T10"/>
  <c r="S10"/>
  <c r="R10"/>
  <c r="Q10"/>
  <c r="U10" s="1"/>
  <c r="T9"/>
  <c r="S9"/>
  <c r="R9"/>
  <c r="Q9"/>
  <c r="U9" s="1"/>
  <c r="T8"/>
  <c r="S8"/>
  <c r="R8"/>
  <c r="Q8"/>
  <c r="U8" s="1"/>
  <c r="T7"/>
  <c r="T58" s="1"/>
  <c r="S7"/>
  <c r="S58" s="1"/>
  <c r="R7"/>
  <c r="R58" s="1"/>
  <c r="Q7"/>
  <c r="Q58" s="1"/>
  <c r="Y58" i="1"/>
  <c r="X58"/>
  <c r="W58"/>
  <c r="V58"/>
  <c r="Z58" s="1"/>
  <c r="Y57"/>
  <c r="X57"/>
  <c r="W57"/>
  <c r="V57"/>
  <c r="Z57" s="1"/>
  <c r="Y56"/>
  <c r="X56"/>
  <c r="W56"/>
  <c r="V56"/>
  <c r="Z56" s="1"/>
  <c r="Y55"/>
  <c r="X55"/>
  <c r="W55"/>
  <c r="V55"/>
  <c r="Z55" s="1"/>
  <c r="Y54"/>
  <c r="X54"/>
  <c r="W54"/>
  <c r="V54"/>
  <c r="Z54" s="1"/>
  <c r="Y53"/>
  <c r="X53"/>
  <c r="W53"/>
  <c r="V53"/>
  <c r="Z53" s="1"/>
  <c r="Y52"/>
  <c r="X52"/>
  <c r="W52"/>
  <c r="V52"/>
  <c r="Z52" s="1"/>
  <c r="Y51"/>
  <c r="X51"/>
  <c r="W51"/>
  <c r="V51"/>
  <c r="Z51" s="1"/>
  <c r="Y50"/>
  <c r="X50"/>
  <c r="W50"/>
  <c r="V50"/>
  <c r="Z50" s="1"/>
  <c r="Y49"/>
  <c r="X49"/>
  <c r="W49"/>
  <c r="V49"/>
  <c r="Z49" s="1"/>
  <c r="Y48"/>
  <c r="X48"/>
  <c r="W48"/>
  <c r="V48"/>
  <c r="Z48" s="1"/>
  <c r="Y47"/>
  <c r="X47"/>
  <c r="W47"/>
  <c r="V47"/>
  <c r="Z47" s="1"/>
  <c r="Y46"/>
  <c r="X46"/>
  <c r="W46"/>
  <c r="V46"/>
  <c r="Z46" s="1"/>
  <c r="Y45"/>
  <c r="X45"/>
  <c r="W45"/>
  <c r="V45"/>
  <c r="Z45" s="1"/>
  <c r="Y44"/>
  <c r="X44"/>
  <c r="W44"/>
  <c r="V44"/>
  <c r="Z44" s="1"/>
  <c r="Y43"/>
  <c r="X43"/>
  <c r="W43"/>
  <c r="V43"/>
  <c r="Z43" s="1"/>
  <c r="Y42"/>
  <c r="X42"/>
  <c r="W42"/>
  <c r="V42"/>
  <c r="Z42" s="1"/>
  <c r="Y41"/>
  <c r="X41"/>
  <c r="W41"/>
  <c r="V41"/>
  <c r="Z41" s="1"/>
  <c r="Y40"/>
  <c r="X40"/>
  <c r="W40"/>
  <c r="V40"/>
  <c r="Z40" s="1"/>
  <c r="Y39"/>
  <c r="X39"/>
  <c r="W39"/>
  <c r="V39"/>
  <c r="Z39" s="1"/>
  <c r="Y38"/>
  <c r="X38"/>
  <c r="W38"/>
  <c r="V38"/>
  <c r="Z38" s="1"/>
  <c r="Y37"/>
  <c r="X37"/>
  <c r="W37"/>
  <c r="V37"/>
  <c r="Z37" s="1"/>
  <c r="Y36"/>
  <c r="X36"/>
  <c r="W36"/>
  <c r="V36"/>
  <c r="Z36" s="1"/>
  <c r="Y35"/>
  <c r="X35"/>
  <c r="W35"/>
  <c r="V35"/>
  <c r="Z35" s="1"/>
  <c r="Y34"/>
  <c r="X34"/>
  <c r="W34"/>
  <c r="V34"/>
  <c r="Z34" s="1"/>
  <c r="Y33"/>
  <c r="X33"/>
  <c r="W33"/>
  <c r="V33"/>
  <c r="Z33" s="1"/>
  <c r="Y32"/>
  <c r="X32"/>
  <c r="W32"/>
  <c r="V32"/>
  <c r="Z32" s="1"/>
  <c r="Y31"/>
  <c r="X31"/>
  <c r="W31"/>
  <c r="V31"/>
  <c r="Z31" s="1"/>
  <c r="Y30"/>
  <c r="X30"/>
  <c r="W30"/>
  <c r="V30"/>
  <c r="Z30" s="1"/>
  <c r="Y29"/>
  <c r="X29"/>
  <c r="W29"/>
  <c r="V29"/>
  <c r="Z29" s="1"/>
  <c r="Y28"/>
  <c r="X28"/>
  <c r="W28"/>
  <c r="V28"/>
  <c r="Z28" s="1"/>
  <c r="Y27"/>
  <c r="X27"/>
  <c r="W27"/>
  <c r="V27"/>
  <c r="Z27" s="1"/>
  <c r="Y26"/>
  <c r="X26"/>
  <c r="W26"/>
  <c r="V26"/>
  <c r="Z26" s="1"/>
  <c r="Y25"/>
  <c r="X25"/>
  <c r="W25"/>
  <c r="V25"/>
  <c r="Z25" s="1"/>
  <c r="Y24"/>
  <c r="X24"/>
  <c r="W24"/>
  <c r="V24"/>
  <c r="Z24" s="1"/>
  <c r="Y23"/>
  <c r="X23"/>
  <c r="W23"/>
  <c r="V23"/>
  <c r="Z23" s="1"/>
  <c r="Y22"/>
  <c r="X22"/>
  <c r="W22"/>
  <c r="V22"/>
  <c r="Z22" s="1"/>
  <c r="Y21"/>
  <c r="X21"/>
  <c r="W21"/>
  <c r="V21"/>
  <c r="Z21" s="1"/>
  <c r="Y20"/>
  <c r="X20"/>
  <c r="W20"/>
  <c r="V20"/>
  <c r="Z20" s="1"/>
  <c r="Y19"/>
  <c r="X19"/>
  <c r="W19"/>
  <c r="V19"/>
  <c r="Z19" s="1"/>
  <c r="Y18"/>
  <c r="X18"/>
  <c r="W18"/>
  <c r="V18"/>
  <c r="Z18" s="1"/>
  <c r="Y17"/>
  <c r="X17"/>
  <c r="W17"/>
  <c r="V17"/>
  <c r="Z17" s="1"/>
  <c r="Y16"/>
  <c r="X16"/>
  <c r="W16"/>
  <c r="V16"/>
  <c r="Z16" s="1"/>
  <c r="Y15"/>
  <c r="X15"/>
  <c r="W15"/>
  <c r="V15"/>
  <c r="Z15" s="1"/>
  <c r="Y14"/>
  <c r="X14"/>
  <c r="W14"/>
  <c r="V14"/>
  <c r="Z14" s="1"/>
  <c r="Y13"/>
  <c r="X13"/>
  <c r="W13"/>
  <c r="V13"/>
  <c r="Z13" s="1"/>
  <c r="Y12"/>
  <c r="X12"/>
  <c r="W12"/>
  <c r="V12"/>
  <c r="Z12" s="1"/>
  <c r="Y11"/>
  <c r="X11"/>
  <c r="W11"/>
  <c r="V11"/>
  <c r="Z11" s="1"/>
  <c r="Y10"/>
  <c r="X10"/>
  <c r="W10"/>
  <c r="V10"/>
  <c r="Z10" s="1"/>
  <c r="Y9"/>
  <c r="X9"/>
  <c r="W9"/>
  <c r="V9"/>
  <c r="Z9" s="1"/>
  <c r="Y8"/>
  <c r="Y59" s="1"/>
  <c r="X8"/>
  <c r="X59" s="1"/>
  <c r="W8"/>
  <c r="W59" s="1"/>
  <c r="V8"/>
  <c r="V59" s="1"/>
  <c r="P58"/>
  <c r="O58"/>
  <c r="N58"/>
  <c r="M58"/>
  <c r="Q58" s="1"/>
  <c r="P57"/>
  <c r="O57"/>
  <c r="N57"/>
  <c r="M57"/>
  <c r="Q57" s="1"/>
  <c r="P56"/>
  <c r="O56"/>
  <c r="N56"/>
  <c r="M56"/>
  <c r="Q56" s="1"/>
  <c r="P55"/>
  <c r="O55"/>
  <c r="N55"/>
  <c r="M55"/>
  <c r="Q55" s="1"/>
  <c r="P54"/>
  <c r="O54"/>
  <c r="N54"/>
  <c r="M54"/>
  <c r="Q54" s="1"/>
  <c r="P53"/>
  <c r="O53"/>
  <c r="N53"/>
  <c r="M53"/>
  <c r="Q53" s="1"/>
  <c r="P52"/>
  <c r="O52"/>
  <c r="N52"/>
  <c r="M52"/>
  <c r="Q52" s="1"/>
  <c r="P51"/>
  <c r="O51"/>
  <c r="N51"/>
  <c r="M51"/>
  <c r="Q51" s="1"/>
  <c r="P50"/>
  <c r="O50"/>
  <c r="N50"/>
  <c r="M50"/>
  <c r="Q50" s="1"/>
  <c r="P49"/>
  <c r="O49"/>
  <c r="N49"/>
  <c r="M49"/>
  <c r="Q49" s="1"/>
  <c r="P48"/>
  <c r="O48"/>
  <c r="N48"/>
  <c r="M48"/>
  <c r="Q48" s="1"/>
  <c r="P47"/>
  <c r="O47"/>
  <c r="N47"/>
  <c r="M47"/>
  <c r="Q47" s="1"/>
  <c r="P46"/>
  <c r="O46"/>
  <c r="N46"/>
  <c r="M46"/>
  <c r="Q46" s="1"/>
  <c r="P45"/>
  <c r="O45"/>
  <c r="N45"/>
  <c r="M45"/>
  <c r="Q45" s="1"/>
  <c r="P44"/>
  <c r="O44"/>
  <c r="N44"/>
  <c r="M44"/>
  <c r="Q44" s="1"/>
  <c r="P43"/>
  <c r="O43"/>
  <c r="N43"/>
  <c r="M43"/>
  <c r="Q43" s="1"/>
  <c r="P42"/>
  <c r="O42"/>
  <c r="N42"/>
  <c r="M42"/>
  <c r="Q42" s="1"/>
  <c r="P41"/>
  <c r="O41"/>
  <c r="N41"/>
  <c r="M41"/>
  <c r="Q41" s="1"/>
  <c r="P40"/>
  <c r="O40"/>
  <c r="N40"/>
  <c r="M40"/>
  <c r="Q40" s="1"/>
  <c r="P39"/>
  <c r="O39"/>
  <c r="N39"/>
  <c r="M39"/>
  <c r="Q39" s="1"/>
  <c r="P38"/>
  <c r="O38"/>
  <c r="N38"/>
  <c r="M38"/>
  <c r="Q38" s="1"/>
  <c r="P37"/>
  <c r="O37"/>
  <c r="N37"/>
  <c r="M37"/>
  <c r="Q37" s="1"/>
  <c r="P36"/>
  <c r="O36"/>
  <c r="N36"/>
  <c r="M36"/>
  <c r="Q36" s="1"/>
  <c r="P35"/>
  <c r="O35"/>
  <c r="N35"/>
  <c r="M35"/>
  <c r="Q35" s="1"/>
  <c r="P34"/>
  <c r="O34"/>
  <c r="N34"/>
  <c r="M34"/>
  <c r="Q34" s="1"/>
  <c r="P33"/>
  <c r="O33"/>
  <c r="N33"/>
  <c r="M33"/>
  <c r="Q33" s="1"/>
  <c r="P32"/>
  <c r="O32"/>
  <c r="N32"/>
  <c r="M32"/>
  <c r="Q32" s="1"/>
  <c r="P31"/>
  <c r="O31"/>
  <c r="N31"/>
  <c r="M31"/>
  <c r="Q31" s="1"/>
  <c r="P30"/>
  <c r="O30"/>
  <c r="N30"/>
  <c r="M30"/>
  <c r="Q30" s="1"/>
  <c r="P29"/>
  <c r="O29"/>
  <c r="N29"/>
  <c r="M29"/>
  <c r="Q29" s="1"/>
  <c r="P28"/>
  <c r="O28"/>
  <c r="N28"/>
  <c r="M28"/>
  <c r="Q28" s="1"/>
  <c r="P27"/>
  <c r="O27"/>
  <c r="N27"/>
  <c r="M27"/>
  <c r="Q27" s="1"/>
  <c r="P26"/>
  <c r="O26"/>
  <c r="N26"/>
  <c r="M26"/>
  <c r="Q26" s="1"/>
  <c r="P25"/>
  <c r="O25"/>
  <c r="N25"/>
  <c r="M25"/>
  <c r="Q25" s="1"/>
  <c r="P24"/>
  <c r="O24"/>
  <c r="N24"/>
  <c r="M24"/>
  <c r="Q24" s="1"/>
  <c r="P23"/>
  <c r="O23"/>
  <c r="N23"/>
  <c r="M23"/>
  <c r="Q23" s="1"/>
  <c r="P22"/>
  <c r="O22"/>
  <c r="N22"/>
  <c r="M22"/>
  <c r="Q22" s="1"/>
  <c r="P21"/>
  <c r="O21"/>
  <c r="N21"/>
  <c r="M21"/>
  <c r="Q21" s="1"/>
  <c r="P20"/>
  <c r="O20"/>
  <c r="N20"/>
  <c r="M20"/>
  <c r="P19"/>
  <c r="O19"/>
  <c r="N19"/>
  <c r="M19"/>
  <c r="Q19" s="1"/>
  <c r="P18"/>
  <c r="O18"/>
  <c r="N18"/>
  <c r="M18"/>
  <c r="Q18" s="1"/>
  <c r="P17"/>
  <c r="O17"/>
  <c r="N17"/>
  <c r="M17"/>
  <c r="Q17" s="1"/>
  <c r="P16"/>
  <c r="O16"/>
  <c r="N16"/>
  <c r="M16"/>
  <c r="Q16" s="1"/>
  <c r="P15"/>
  <c r="O15"/>
  <c r="N15"/>
  <c r="M15"/>
  <c r="Q15" s="1"/>
  <c r="P14"/>
  <c r="O14"/>
  <c r="N14"/>
  <c r="M14"/>
  <c r="Q14" s="1"/>
  <c r="P13"/>
  <c r="O13"/>
  <c r="N13"/>
  <c r="M13"/>
  <c r="Q13" s="1"/>
  <c r="P12"/>
  <c r="O12"/>
  <c r="N12"/>
  <c r="M12"/>
  <c r="Q12" s="1"/>
  <c r="P11"/>
  <c r="O11"/>
  <c r="N11"/>
  <c r="M11"/>
  <c r="Q11" s="1"/>
  <c r="P10"/>
  <c r="O10"/>
  <c r="N10"/>
  <c r="M10"/>
  <c r="Q10" s="1"/>
  <c r="P9"/>
  <c r="O9"/>
  <c r="N9"/>
  <c r="M9"/>
  <c r="Q9" s="1"/>
  <c r="P8"/>
  <c r="P59" s="1"/>
  <c r="O8"/>
  <c r="O59" s="1"/>
  <c r="N8"/>
  <c r="N59" s="1"/>
  <c r="M8"/>
  <c r="M59" s="1"/>
  <c r="Q20" l="1"/>
  <c r="U28" i="37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U23"/>
  <c r="U17"/>
  <c r="Z8" i="1"/>
  <c r="Q8"/>
  <c r="AD7" i="37"/>
  <c r="U7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O5"/>
  <c r="AN5" s="1"/>
  <c r="B58"/>
  <c r="C58" s="1"/>
  <c r="AD58"/>
  <c r="U58"/>
  <c r="H58"/>
  <c r="I58" s="1"/>
  <c r="E58"/>
  <c r="F57" s="1"/>
  <c r="G57" s="1"/>
  <c r="AF57"/>
  <c r="AG57" s="1"/>
  <c r="AF56"/>
  <c r="AG56" s="1"/>
  <c r="AF55"/>
  <c r="AG55" s="1"/>
  <c r="AF54"/>
  <c r="AG54" s="1"/>
  <c r="AF53"/>
  <c r="AG53" s="1"/>
  <c r="AF52"/>
  <c r="AG52" s="1"/>
  <c r="F52"/>
  <c r="G52" s="1"/>
  <c r="AF51"/>
  <c r="AG51" s="1"/>
  <c r="I51"/>
  <c r="J51" s="1"/>
  <c r="AF50"/>
  <c r="AG50" s="1"/>
  <c r="I50"/>
  <c r="J50" s="1"/>
  <c r="F50"/>
  <c r="G50" s="1"/>
  <c r="AF49"/>
  <c r="AG49" s="1"/>
  <c r="AF48"/>
  <c r="AG48" s="1"/>
  <c r="F48"/>
  <c r="G48" s="1"/>
  <c r="AF47"/>
  <c r="AG47" s="1"/>
  <c r="I47"/>
  <c r="J47" s="1"/>
  <c r="AF46"/>
  <c r="AG46" s="1"/>
  <c r="I46"/>
  <c r="J46" s="1"/>
  <c r="F46"/>
  <c r="G46" s="1"/>
  <c r="AF45"/>
  <c r="AG45" s="1"/>
  <c r="AF44"/>
  <c r="AG44" s="1"/>
  <c r="F44"/>
  <c r="G44" s="1"/>
  <c r="AF43"/>
  <c r="AG43" s="1"/>
  <c r="I43"/>
  <c r="J43" s="1"/>
  <c r="AF42"/>
  <c r="AG42" s="1"/>
  <c r="I42"/>
  <c r="J42" s="1"/>
  <c r="F42"/>
  <c r="G42" s="1"/>
  <c r="AF41"/>
  <c r="AG41" s="1"/>
  <c r="AF40"/>
  <c r="AG40" s="1"/>
  <c r="F40"/>
  <c r="G40" s="1"/>
  <c r="AF39"/>
  <c r="AG39" s="1"/>
  <c r="I39"/>
  <c r="J39" s="1"/>
  <c r="AF38"/>
  <c r="AG38" s="1"/>
  <c r="I38"/>
  <c r="J38" s="1"/>
  <c r="F38"/>
  <c r="G38" s="1"/>
  <c r="AF37"/>
  <c r="AG37" s="1"/>
  <c r="AF36"/>
  <c r="AG36" s="1"/>
  <c r="F36"/>
  <c r="G36" s="1"/>
  <c r="AF35"/>
  <c r="AG35" s="1"/>
  <c r="I35"/>
  <c r="J35" s="1"/>
  <c r="AF34"/>
  <c r="AG34" s="1"/>
  <c r="I34"/>
  <c r="J34" s="1"/>
  <c r="F34"/>
  <c r="G34" s="1"/>
  <c r="AF33"/>
  <c r="AG33" s="1"/>
  <c r="AF32"/>
  <c r="AG32" s="1"/>
  <c r="F32"/>
  <c r="G32" s="1"/>
  <c r="AF31"/>
  <c r="AG31" s="1"/>
  <c r="I31"/>
  <c r="J31" s="1"/>
  <c r="AF30"/>
  <c r="AG30" s="1"/>
  <c r="I30"/>
  <c r="J30" s="1"/>
  <c r="F30"/>
  <c r="G30" s="1"/>
  <c r="AF29"/>
  <c r="AG29" s="1"/>
  <c r="AF28"/>
  <c r="AG28" s="1"/>
  <c r="F28"/>
  <c r="G28" s="1"/>
  <c r="AF27"/>
  <c r="AG27" s="1"/>
  <c r="I27"/>
  <c r="J27" s="1"/>
  <c r="AF26"/>
  <c r="AG26" s="1"/>
  <c r="I26"/>
  <c r="J26" s="1"/>
  <c r="F26"/>
  <c r="G26" s="1"/>
  <c r="AF25"/>
  <c r="AG25" s="1"/>
  <c r="AF24"/>
  <c r="AG24" s="1"/>
  <c r="F24"/>
  <c r="G24" s="1"/>
  <c r="AF23"/>
  <c r="AG23" s="1"/>
  <c r="I23"/>
  <c r="J23" s="1"/>
  <c r="AF22"/>
  <c r="AG22" s="1"/>
  <c r="I22"/>
  <c r="J22" s="1"/>
  <c r="AF21"/>
  <c r="AG21" s="1"/>
  <c r="I21"/>
  <c r="J21" s="1"/>
  <c r="AF20"/>
  <c r="AG20" s="1"/>
  <c r="I20"/>
  <c r="J20" s="1"/>
  <c r="AF19"/>
  <c r="AG19" s="1"/>
  <c r="I19"/>
  <c r="J19" s="1"/>
  <c r="AF18"/>
  <c r="AG18" s="1"/>
  <c r="I18"/>
  <c r="J18" s="1"/>
  <c r="AF17"/>
  <c r="AG17" s="1"/>
  <c r="I17"/>
  <c r="J17" s="1"/>
  <c r="AF16"/>
  <c r="AG16" s="1"/>
  <c r="I16"/>
  <c r="J16" s="1"/>
  <c r="AF15"/>
  <c r="AG15" s="1"/>
  <c r="I15"/>
  <c r="J15" s="1"/>
  <c r="AF14"/>
  <c r="AG14" s="1"/>
  <c r="I14"/>
  <c r="J14" s="1"/>
  <c r="AF13"/>
  <c r="AG13" s="1"/>
  <c r="I13"/>
  <c r="J13" s="1"/>
  <c r="AF12"/>
  <c r="AG12" s="1"/>
  <c r="I12"/>
  <c r="J12" s="1"/>
  <c r="AF11"/>
  <c r="AG11" s="1"/>
  <c r="I11"/>
  <c r="J11" s="1"/>
  <c r="AF10"/>
  <c r="AG10" s="1"/>
  <c r="I10"/>
  <c r="J10" s="1"/>
  <c r="AF9"/>
  <c r="AG9" s="1"/>
  <c r="I9"/>
  <c r="J9" s="1"/>
  <c r="AF8"/>
  <c r="AG8" s="1"/>
  <c r="I8"/>
  <c r="J8" s="1"/>
  <c r="AF7"/>
  <c r="AG7" s="1"/>
  <c r="I7"/>
  <c r="J7" s="1"/>
  <c r="M6" i="36"/>
  <c r="K6" s="1"/>
  <c r="E59"/>
  <c r="F59" s="1"/>
  <c r="B59"/>
  <c r="C58" s="1"/>
  <c r="C21" i="35"/>
  <c r="O19"/>
  <c r="O21" s="1"/>
  <c r="N19"/>
  <c r="N21" s="1"/>
  <c r="M19"/>
  <c r="M21" s="1"/>
  <c r="AI58" i="1"/>
  <c r="AJ58" s="1"/>
  <c r="AI57"/>
  <c r="AJ57" s="1"/>
  <c r="AI56"/>
  <c r="AJ56" s="1"/>
  <c r="AI55"/>
  <c r="AJ55" s="1"/>
  <c r="AI54"/>
  <c r="AJ54" s="1"/>
  <c r="AI53"/>
  <c r="AJ53" s="1"/>
  <c r="AI52"/>
  <c r="AJ52" s="1"/>
  <c r="AI51"/>
  <c r="AJ51" s="1"/>
  <c r="AI50"/>
  <c r="AJ50" s="1"/>
  <c r="AI49"/>
  <c r="AJ49" s="1"/>
  <c r="AI48"/>
  <c r="AJ48" s="1"/>
  <c r="AI47"/>
  <c r="AJ47" s="1"/>
  <c r="AI46"/>
  <c r="AJ46" s="1"/>
  <c r="AI45"/>
  <c r="AJ45" s="1"/>
  <c r="AI44"/>
  <c r="AJ44" s="1"/>
  <c r="AI43"/>
  <c r="AJ43" s="1"/>
  <c r="AI42"/>
  <c r="AJ42" s="1"/>
  <c r="AI41"/>
  <c r="AJ41" s="1"/>
  <c r="AI40"/>
  <c r="AJ40" s="1"/>
  <c r="AI39"/>
  <c r="AJ39" s="1"/>
  <c r="AI38"/>
  <c r="AJ38" s="1"/>
  <c r="AI37"/>
  <c r="AJ37" s="1"/>
  <c r="AI36"/>
  <c r="AJ36" s="1"/>
  <c r="AI35"/>
  <c r="AJ35" s="1"/>
  <c r="AI34"/>
  <c r="AJ34" s="1"/>
  <c r="AI33"/>
  <c r="AJ33" s="1"/>
  <c r="AI32"/>
  <c r="AJ32" s="1"/>
  <c r="AI31"/>
  <c r="AJ31" s="1"/>
  <c r="AI30"/>
  <c r="AJ30" s="1"/>
  <c r="AI29"/>
  <c r="AJ29" s="1"/>
  <c r="AI28"/>
  <c r="AJ28" s="1"/>
  <c r="AI27"/>
  <c r="AJ27" s="1"/>
  <c r="AI26"/>
  <c r="AJ26" s="1"/>
  <c r="AI25"/>
  <c r="AJ25" s="1"/>
  <c r="AI24"/>
  <c r="AJ24" s="1"/>
  <c r="AI23"/>
  <c r="AJ23" s="1"/>
  <c r="AI22"/>
  <c r="AJ22" s="1"/>
  <c r="AI21"/>
  <c r="AJ21" s="1"/>
  <c r="AI20"/>
  <c r="AJ20" s="1"/>
  <c r="AI19"/>
  <c r="AJ19" s="1"/>
  <c r="AI18"/>
  <c r="AJ18" s="1"/>
  <c r="AI17"/>
  <c r="AJ17" s="1"/>
  <c r="AI16"/>
  <c r="AJ16" s="1"/>
  <c r="AI15"/>
  <c r="AJ15" s="1"/>
  <c r="AI14"/>
  <c r="AJ14" s="1"/>
  <c r="AI13"/>
  <c r="AJ13" s="1"/>
  <c r="AI12"/>
  <c r="AJ12" s="1"/>
  <c r="AI11"/>
  <c r="AJ11" s="1"/>
  <c r="AI10"/>
  <c r="AJ10" s="1"/>
  <c r="AI9"/>
  <c r="AJ9" s="1"/>
  <c r="AG59"/>
  <c r="Z59"/>
  <c r="Q59"/>
  <c r="AB58"/>
  <c r="AC58" s="1"/>
  <c r="AA58"/>
  <c r="AB57"/>
  <c r="AC57" s="1"/>
  <c r="AA57"/>
  <c r="AB56"/>
  <c r="AC56" s="1"/>
  <c r="AA56"/>
  <c r="AB55"/>
  <c r="AC55" s="1"/>
  <c r="AA55"/>
  <c r="AB54"/>
  <c r="AC54" s="1"/>
  <c r="AA54"/>
  <c r="AB53"/>
  <c r="AC53" s="1"/>
  <c r="AA53"/>
  <c r="AB52"/>
  <c r="AC52" s="1"/>
  <c r="AA52"/>
  <c r="AB51"/>
  <c r="AC51" s="1"/>
  <c r="AA51"/>
  <c r="AB50"/>
  <c r="AC50" s="1"/>
  <c r="AA50"/>
  <c r="AB49"/>
  <c r="AC49" s="1"/>
  <c r="AA49"/>
  <c r="AB48"/>
  <c r="AC48" s="1"/>
  <c r="AA48"/>
  <c r="AB47"/>
  <c r="AC47" s="1"/>
  <c r="AA47"/>
  <c r="AB46"/>
  <c r="AC46" s="1"/>
  <c r="AA46"/>
  <c r="AB45"/>
  <c r="AC45" s="1"/>
  <c r="AA45"/>
  <c r="AB44"/>
  <c r="AC44" s="1"/>
  <c r="AA44"/>
  <c r="AB43"/>
  <c r="AC43" s="1"/>
  <c r="AA43"/>
  <c r="AB42"/>
  <c r="AC42" s="1"/>
  <c r="AA42"/>
  <c r="AB41"/>
  <c r="AC41" s="1"/>
  <c r="AA41"/>
  <c r="AB40"/>
  <c r="AC40" s="1"/>
  <c r="AA40"/>
  <c r="AB39"/>
  <c r="AC39" s="1"/>
  <c r="AA39"/>
  <c r="AB38"/>
  <c r="AC38" s="1"/>
  <c r="AA38"/>
  <c r="AB37"/>
  <c r="AC37" s="1"/>
  <c r="AA37"/>
  <c r="AB36"/>
  <c r="AC36" s="1"/>
  <c r="AA36"/>
  <c r="AB35"/>
  <c r="AC35" s="1"/>
  <c r="AA35"/>
  <c r="AB34"/>
  <c r="AC34" s="1"/>
  <c r="AA34"/>
  <c r="AB33"/>
  <c r="AC33" s="1"/>
  <c r="AA33"/>
  <c r="AB32"/>
  <c r="AC32" s="1"/>
  <c r="AA32"/>
  <c r="AB31"/>
  <c r="AC31" s="1"/>
  <c r="AA31"/>
  <c r="AB30"/>
  <c r="AC30" s="1"/>
  <c r="AA30"/>
  <c r="AB29"/>
  <c r="AC29" s="1"/>
  <c r="AA29"/>
  <c r="AB28"/>
  <c r="AC28" s="1"/>
  <c r="AA28"/>
  <c r="AB27"/>
  <c r="AC27" s="1"/>
  <c r="AA27"/>
  <c r="AB26"/>
  <c r="AC26" s="1"/>
  <c r="AA26"/>
  <c r="AB25"/>
  <c r="AC25" s="1"/>
  <c r="AA25"/>
  <c r="AB24"/>
  <c r="AC24" s="1"/>
  <c r="AA24"/>
  <c r="AB23"/>
  <c r="AC23" s="1"/>
  <c r="AA23"/>
  <c r="AB22"/>
  <c r="AC22" s="1"/>
  <c r="AA22"/>
  <c r="AB21"/>
  <c r="AC21" s="1"/>
  <c r="AA21"/>
  <c r="AB20"/>
  <c r="AC20" s="1"/>
  <c r="AA20"/>
  <c r="AB19"/>
  <c r="AC19" s="1"/>
  <c r="AA19"/>
  <c r="AB18"/>
  <c r="AC18" s="1"/>
  <c r="AA18"/>
  <c r="AB17"/>
  <c r="AC17" s="1"/>
  <c r="AA17"/>
  <c r="AB16"/>
  <c r="AC16" s="1"/>
  <c r="AA16"/>
  <c r="AC15"/>
  <c r="AB15"/>
  <c r="AA15"/>
  <c r="AB14"/>
  <c r="AC14" s="1"/>
  <c r="AA14"/>
  <c r="AB13"/>
  <c r="AC13" s="1"/>
  <c r="AA13"/>
  <c r="AB12"/>
  <c r="AC12" s="1"/>
  <c r="AA12"/>
  <c r="AB11"/>
  <c r="AC11" s="1"/>
  <c r="AA11"/>
  <c r="AB10"/>
  <c r="AC10" s="1"/>
  <c r="AA10"/>
  <c r="AB9"/>
  <c r="AC9" s="1"/>
  <c r="AA9"/>
  <c r="AB8"/>
  <c r="AC8" s="1"/>
  <c r="AA8"/>
  <c r="K17" i="35"/>
  <c r="K21" s="1"/>
  <c r="J17"/>
  <c r="J21" s="1"/>
  <c r="I17"/>
  <c r="I21" s="1"/>
  <c r="G15"/>
  <c r="F15"/>
  <c r="E15"/>
  <c r="G13"/>
  <c r="F13"/>
  <c r="E13"/>
  <c r="G11"/>
  <c r="F11"/>
  <c r="E11"/>
  <c r="G9"/>
  <c r="F9"/>
  <c r="E9"/>
  <c r="G7"/>
  <c r="F7"/>
  <c r="E7"/>
  <c r="I24" i="37" l="1"/>
  <c r="J24" s="1"/>
  <c r="I25"/>
  <c r="J25" s="1"/>
  <c r="I28"/>
  <c r="J28" s="1"/>
  <c r="I29"/>
  <c r="J29" s="1"/>
  <c r="I32"/>
  <c r="J32" s="1"/>
  <c r="I33"/>
  <c r="J33" s="1"/>
  <c r="I36"/>
  <c r="J36" s="1"/>
  <c r="I37"/>
  <c r="J37" s="1"/>
  <c r="I40"/>
  <c r="J40" s="1"/>
  <c r="I41"/>
  <c r="J41" s="1"/>
  <c r="I44"/>
  <c r="J44" s="1"/>
  <c r="I45"/>
  <c r="J45" s="1"/>
  <c r="F17" i="36"/>
  <c r="C12"/>
  <c r="F8"/>
  <c r="F33"/>
  <c r="F12"/>
  <c r="F25"/>
  <c r="F41"/>
  <c r="F10"/>
  <c r="F14"/>
  <c r="K14" s="1"/>
  <c r="F21"/>
  <c r="F29"/>
  <c r="F37"/>
  <c r="F45"/>
  <c r="AE58" i="37"/>
  <c r="I48"/>
  <c r="J48" s="1"/>
  <c r="I49"/>
  <c r="J49" s="1"/>
  <c r="I52"/>
  <c r="J52" s="1"/>
  <c r="I53"/>
  <c r="J53" s="1"/>
  <c r="I54"/>
  <c r="J54" s="1"/>
  <c r="I55"/>
  <c r="J55" s="1"/>
  <c r="C23" i="36"/>
  <c r="C8"/>
  <c r="C16"/>
  <c r="C31"/>
  <c r="F9"/>
  <c r="F11"/>
  <c r="F13"/>
  <c r="F15"/>
  <c r="F19"/>
  <c r="K19" s="1"/>
  <c r="F23"/>
  <c r="F27"/>
  <c r="K27" s="1"/>
  <c r="F31"/>
  <c r="F35"/>
  <c r="K35" s="1"/>
  <c r="F39"/>
  <c r="F43"/>
  <c r="K43" s="1"/>
  <c r="F47"/>
  <c r="C10"/>
  <c r="C14"/>
  <c r="C19"/>
  <c r="C27"/>
  <c r="C38"/>
  <c r="C9"/>
  <c r="C11"/>
  <c r="C13"/>
  <c r="C15"/>
  <c r="C17"/>
  <c r="C21"/>
  <c r="C25"/>
  <c r="C29"/>
  <c r="C34"/>
  <c r="C45"/>
  <c r="C18"/>
  <c r="C20"/>
  <c r="C22"/>
  <c r="C24"/>
  <c r="C26"/>
  <c r="C28"/>
  <c r="C30"/>
  <c r="C32"/>
  <c r="C36"/>
  <c r="C41"/>
  <c r="C51"/>
  <c r="F54" i="37"/>
  <c r="G54" s="1"/>
  <c r="F56"/>
  <c r="G56" s="1"/>
  <c r="F21" i="35"/>
  <c r="AL5" i="37"/>
  <c r="AC59" i="1"/>
  <c r="AD9" s="1"/>
  <c r="AE9" s="1"/>
  <c r="AF9" s="1"/>
  <c r="E21" i="35"/>
  <c r="G21"/>
  <c r="C33" i="36"/>
  <c r="C35"/>
  <c r="C37"/>
  <c r="C39"/>
  <c r="C43"/>
  <c r="C47"/>
  <c r="C55"/>
  <c r="F51"/>
  <c r="K51" s="1"/>
  <c r="C10" i="37"/>
  <c r="AL10" s="1"/>
  <c r="C26"/>
  <c r="J6" i="36"/>
  <c r="L6"/>
  <c r="C40"/>
  <c r="C42"/>
  <c r="C44"/>
  <c r="C46"/>
  <c r="C49"/>
  <c r="C53"/>
  <c r="C57"/>
  <c r="F49"/>
  <c r="F53"/>
  <c r="K53" s="1"/>
  <c r="C42" i="37"/>
  <c r="C18"/>
  <c r="AL18" s="1"/>
  <c r="C34"/>
  <c r="C50"/>
  <c r="AL50" s="1"/>
  <c r="AM5"/>
  <c r="C14"/>
  <c r="AL14" s="1"/>
  <c r="C22"/>
  <c r="C30"/>
  <c r="AL30" s="1"/>
  <c r="C38"/>
  <c r="C46"/>
  <c r="AL46" s="1"/>
  <c r="C54"/>
  <c r="AD11" i="1"/>
  <c r="AE11" s="1"/>
  <c r="AF11" s="1"/>
  <c r="AA59"/>
  <c r="AI8"/>
  <c r="AJ8" s="1"/>
  <c r="AJ59" s="1"/>
  <c r="K28" i="37"/>
  <c r="K32"/>
  <c r="K36"/>
  <c r="K40"/>
  <c r="K44"/>
  <c r="K48"/>
  <c r="K52"/>
  <c r="I56"/>
  <c r="J56" s="1"/>
  <c r="K56" s="1"/>
  <c r="I57"/>
  <c r="J57" s="1"/>
  <c r="K57" s="1"/>
  <c r="C8"/>
  <c r="C12"/>
  <c r="C16"/>
  <c r="C20"/>
  <c r="C24"/>
  <c r="C28"/>
  <c r="C32"/>
  <c r="C36"/>
  <c r="C40"/>
  <c r="C44"/>
  <c r="C48"/>
  <c r="C52"/>
  <c r="C56"/>
  <c r="K30"/>
  <c r="AM30" s="1"/>
  <c r="K34"/>
  <c r="K38"/>
  <c r="AM38" s="1"/>
  <c r="K42"/>
  <c r="K46"/>
  <c r="AM46" s="1"/>
  <c r="K50"/>
  <c r="K54"/>
  <c r="AM54" s="1"/>
  <c r="F7"/>
  <c r="G7" s="1"/>
  <c r="F8"/>
  <c r="G8" s="1"/>
  <c r="K8" s="1"/>
  <c r="AM8" s="1"/>
  <c r="F9"/>
  <c r="G9" s="1"/>
  <c r="K9" s="1"/>
  <c r="F10"/>
  <c r="G10" s="1"/>
  <c r="K10" s="1"/>
  <c r="AM10" s="1"/>
  <c r="F11"/>
  <c r="G11" s="1"/>
  <c r="K11" s="1"/>
  <c r="F12"/>
  <c r="G12" s="1"/>
  <c r="K12" s="1"/>
  <c r="AM12" s="1"/>
  <c r="F13"/>
  <c r="G13" s="1"/>
  <c r="K13" s="1"/>
  <c r="F14"/>
  <c r="G14" s="1"/>
  <c r="K14" s="1"/>
  <c r="AM14" s="1"/>
  <c r="F15"/>
  <c r="G15" s="1"/>
  <c r="K15" s="1"/>
  <c r="F16"/>
  <c r="G16" s="1"/>
  <c r="K16" s="1"/>
  <c r="AM16" s="1"/>
  <c r="F17"/>
  <c r="G17" s="1"/>
  <c r="K17" s="1"/>
  <c r="F18"/>
  <c r="G18" s="1"/>
  <c r="K18" s="1"/>
  <c r="AM18" s="1"/>
  <c r="F19"/>
  <c r="G19" s="1"/>
  <c r="K19" s="1"/>
  <c r="F20"/>
  <c r="G20" s="1"/>
  <c r="K20" s="1"/>
  <c r="AM20" s="1"/>
  <c r="F21"/>
  <c r="G21" s="1"/>
  <c r="K21" s="1"/>
  <c r="F22"/>
  <c r="G22" s="1"/>
  <c r="K22" s="1"/>
  <c r="AM22" s="1"/>
  <c r="F23"/>
  <c r="G23" s="1"/>
  <c r="F25"/>
  <c r="G25" s="1"/>
  <c r="F27"/>
  <c r="G27" s="1"/>
  <c r="F29"/>
  <c r="G29" s="1"/>
  <c r="K29" s="1"/>
  <c r="AM29" s="1"/>
  <c r="F31"/>
  <c r="G31" s="1"/>
  <c r="K31" s="1"/>
  <c r="F33"/>
  <c r="G33" s="1"/>
  <c r="K33" s="1"/>
  <c r="AM33" s="1"/>
  <c r="F35"/>
  <c r="G35" s="1"/>
  <c r="K35" s="1"/>
  <c r="F37"/>
  <c r="G37" s="1"/>
  <c r="K37" s="1"/>
  <c r="AM37" s="1"/>
  <c r="F39"/>
  <c r="G39" s="1"/>
  <c r="K39" s="1"/>
  <c r="F41"/>
  <c r="G41" s="1"/>
  <c r="K41" s="1"/>
  <c r="AM41" s="1"/>
  <c r="F43"/>
  <c r="G43" s="1"/>
  <c r="K43" s="1"/>
  <c r="F45"/>
  <c r="G45" s="1"/>
  <c r="K45" s="1"/>
  <c r="AM45" s="1"/>
  <c r="F47"/>
  <c r="G47" s="1"/>
  <c r="K47" s="1"/>
  <c r="F49"/>
  <c r="G49" s="1"/>
  <c r="K49" s="1"/>
  <c r="AM49" s="1"/>
  <c r="F51"/>
  <c r="G51" s="1"/>
  <c r="K51" s="1"/>
  <c r="F53"/>
  <c r="G53" s="1"/>
  <c r="K53" s="1"/>
  <c r="AM53" s="1"/>
  <c r="F55"/>
  <c r="G55" s="1"/>
  <c r="K55" s="1"/>
  <c r="C7"/>
  <c r="C9"/>
  <c r="C11"/>
  <c r="C13"/>
  <c r="C15"/>
  <c r="C17"/>
  <c r="C19"/>
  <c r="C21"/>
  <c r="C23"/>
  <c r="C25"/>
  <c r="C27"/>
  <c r="C29"/>
  <c r="C31"/>
  <c r="C33"/>
  <c r="C35"/>
  <c r="C37"/>
  <c r="C39"/>
  <c r="C41"/>
  <c r="C43"/>
  <c r="C45"/>
  <c r="C47"/>
  <c r="C49"/>
  <c r="C51"/>
  <c r="C53"/>
  <c r="C55"/>
  <c r="C57"/>
  <c r="AG58"/>
  <c r="AH7" s="1"/>
  <c r="J58"/>
  <c r="AH15"/>
  <c r="AI15" s="1"/>
  <c r="AJ15" s="1"/>
  <c r="AN15" s="1"/>
  <c r="K24"/>
  <c r="K26"/>
  <c r="AM26" s="1"/>
  <c r="AH46"/>
  <c r="AI46" s="1"/>
  <c r="AJ46" s="1"/>
  <c r="AN46" s="1"/>
  <c r="AH54"/>
  <c r="AI54" s="1"/>
  <c r="AJ54" s="1"/>
  <c r="AN54" s="1"/>
  <c r="K23"/>
  <c r="K25"/>
  <c r="AM25" s="1"/>
  <c r="K27"/>
  <c r="K8" i="36"/>
  <c r="K10"/>
  <c r="K12"/>
  <c r="K9"/>
  <c r="K11"/>
  <c r="K13"/>
  <c r="K15"/>
  <c r="K17"/>
  <c r="K21"/>
  <c r="K23"/>
  <c r="K25"/>
  <c r="K29"/>
  <c r="K31"/>
  <c r="K33"/>
  <c r="K37"/>
  <c r="K39"/>
  <c r="K41"/>
  <c r="K45"/>
  <c r="K47"/>
  <c r="K49"/>
  <c r="C48"/>
  <c r="C50"/>
  <c r="C52"/>
  <c r="C54"/>
  <c r="C56"/>
  <c r="F55"/>
  <c r="K55" s="1"/>
  <c r="F57"/>
  <c r="K57" s="1"/>
  <c r="F16"/>
  <c r="K16" s="1"/>
  <c r="F18"/>
  <c r="K18" s="1"/>
  <c r="F20"/>
  <c r="K20" s="1"/>
  <c r="F22"/>
  <c r="K22" s="1"/>
  <c r="F24"/>
  <c r="K24" s="1"/>
  <c r="F26"/>
  <c r="K26" s="1"/>
  <c r="F28"/>
  <c r="K28" s="1"/>
  <c r="F30"/>
  <c r="K30" s="1"/>
  <c r="F32"/>
  <c r="K32" s="1"/>
  <c r="F34"/>
  <c r="K34" s="1"/>
  <c r="F36"/>
  <c r="K36" s="1"/>
  <c r="F38"/>
  <c r="K38" s="1"/>
  <c r="F40"/>
  <c r="K40" s="1"/>
  <c r="F42"/>
  <c r="K42" s="1"/>
  <c r="F44"/>
  <c r="K44" s="1"/>
  <c r="F46"/>
  <c r="K46" s="1"/>
  <c r="F48"/>
  <c r="K48" s="1"/>
  <c r="F50"/>
  <c r="K50" s="1"/>
  <c r="F52"/>
  <c r="K52" s="1"/>
  <c r="F54"/>
  <c r="K54" s="1"/>
  <c r="F56"/>
  <c r="K56" s="1"/>
  <c r="F58"/>
  <c r="K58" s="1"/>
  <c r="AD10" i="1"/>
  <c r="AE10" s="1"/>
  <c r="AF10" s="1"/>
  <c r="AD14"/>
  <c r="AE14" s="1"/>
  <c r="AF14" s="1"/>
  <c r="AD18"/>
  <c r="AE18" s="1"/>
  <c r="AF18" s="1"/>
  <c r="AD22"/>
  <c r="AE22" s="1"/>
  <c r="AF22" s="1"/>
  <c r="AD26"/>
  <c r="AE26" s="1"/>
  <c r="AF26" s="1"/>
  <c r="AD30"/>
  <c r="AE30" s="1"/>
  <c r="AF30" s="1"/>
  <c r="AD34"/>
  <c r="AE34" s="1"/>
  <c r="AF34" s="1"/>
  <c r="AD38"/>
  <c r="AE38" s="1"/>
  <c r="AF38" s="1"/>
  <c r="AD42"/>
  <c r="AE42" s="1"/>
  <c r="AF42" s="1"/>
  <c r="AD46"/>
  <c r="AE46" s="1"/>
  <c r="AF46" s="1"/>
  <c r="AD50"/>
  <c r="AE50" s="1"/>
  <c r="AF50" s="1"/>
  <c r="AD54"/>
  <c r="AE54" s="1"/>
  <c r="AF54" s="1"/>
  <c r="AD58"/>
  <c r="AE58" s="1"/>
  <c r="AF58" s="1"/>
  <c r="AD39"/>
  <c r="AE39" s="1"/>
  <c r="AF39" s="1"/>
  <c r="AD43"/>
  <c r="AE43" s="1"/>
  <c r="AF43" s="1"/>
  <c r="AD47"/>
  <c r="AE47" s="1"/>
  <c r="AF47" s="1"/>
  <c r="AD51"/>
  <c r="AE51" s="1"/>
  <c r="AF51" s="1"/>
  <c r="AD55"/>
  <c r="AE55" s="1"/>
  <c r="AF55" s="1"/>
  <c r="AD8"/>
  <c r="C59" i="36" l="1"/>
  <c r="AD27" i="1"/>
  <c r="AE27" s="1"/>
  <c r="AF27" s="1"/>
  <c r="AD29"/>
  <c r="AE29" s="1"/>
  <c r="AF29" s="1"/>
  <c r="AD19"/>
  <c r="AE19" s="1"/>
  <c r="AF19" s="1"/>
  <c r="AD33"/>
  <c r="AE33" s="1"/>
  <c r="AF33" s="1"/>
  <c r="AD23"/>
  <c r="AE23" s="1"/>
  <c r="AF23" s="1"/>
  <c r="AD13"/>
  <c r="AE13" s="1"/>
  <c r="AF13" s="1"/>
  <c r="AM27" i="37"/>
  <c r="AM23"/>
  <c r="AM24"/>
  <c r="AM55"/>
  <c r="AM51"/>
  <c r="AM47"/>
  <c r="AM43"/>
  <c r="AM39"/>
  <c r="AM35"/>
  <c r="AM31"/>
  <c r="AM21"/>
  <c r="AM19"/>
  <c r="AM17"/>
  <c r="AM15"/>
  <c r="AM13"/>
  <c r="AM11"/>
  <c r="AM9"/>
  <c r="AM50"/>
  <c r="AM42"/>
  <c r="AM34"/>
  <c r="AM56"/>
  <c r="AH50"/>
  <c r="AI50" s="1"/>
  <c r="AJ50" s="1"/>
  <c r="AN50" s="1"/>
  <c r="AH38"/>
  <c r="AI38" s="1"/>
  <c r="AJ38" s="1"/>
  <c r="AN38" s="1"/>
  <c r="AH56"/>
  <c r="AI56" s="1"/>
  <c r="AJ56" s="1"/>
  <c r="AN56" s="1"/>
  <c r="AH52"/>
  <c r="AI52" s="1"/>
  <c r="AJ52" s="1"/>
  <c r="AN52" s="1"/>
  <c r="AH48"/>
  <c r="AI48" s="1"/>
  <c r="AJ48" s="1"/>
  <c r="AN48" s="1"/>
  <c r="AH42"/>
  <c r="AI42" s="1"/>
  <c r="AJ42" s="1"/>
  <c r="AN42" s="1"/>
  <c r="AH31"/>
  <c r="AI31" s="1"/>
  <c r="AJ31" s="1"/>
  <c r="AN31" s="1"/>
  <c r="AM48"/>
  <c r="AM40"/>
  <c r="AM32"/>
  <c r="AH44"/>
  <c r="AI44" s="1"/>
  <c r="AJ44" s="1"/>
  <c r="AN44" s="1"/>
  <c r="AH40"/>
  <c r="AI40" s="1"/>
  <c r="AJ40" s="1"/>
  <c r="AN40" s="1"/>
  <c r="AH35"/>
  <c r="AI35" s="1"/>
  <c r="AJ35" s="1"/>
  <c r="AN35" s="1"/>
  <c r="AH27"/>
  <c r="AI27" s="1"/>
  <c r="AJ27" s="1"/>
  <c r="AN27" s="1"/>
  <c r="AH25"/>
  <c r="AI25" s="1"/>
  <c r="AJ25" s="1"/>
  <c r="AN25" s="1"/>
  <c r="AH23"/>
  <c r="AI23" s="1"/>
  <c r="AJ23" s="1"/>
  <c r="AN23" s="1"/>
  <c r="AH26"/>
  <c r="AI26" s="1"/>
  <c r="AJ26" s="1"/>
  <c r="AN26" s="1"/>
  <c r="AH24"/>
  <c r="AI24" s="1"/>
  <c r="AJ24" s="1"/>
  <c r="AN24" s="1"/>
  <c r="AH57"/>
  <c r="AI57" s="1"/>
  <c r="AJ57" s="1"/>
  <c r="AN57" s="1"/>
  <c r="AH55"/>
  <c r="AI55" s="1"/>
  <c r="AJ55" s="1"/>
  <c r="AN55" s="1"/>
  <c r="AH53"/>
  <c r="AI53" s="1"/>
  <c r="AJ53" s="1"/>
  <c r="AN53" s="1"/>
  <c r="AH51"/>
  <c r="AI51" s="1"/>
  <c r="AJ51" s="1"/>
  <c r="AN51" s="1"/>
  <c r="AH49"/>
  <c r="AI49" s="1"/>
  <c r="AJ49" s="1"/>
  <c r="AN49" s="1"/>
  <c r="AH47"/>
  <c r="AI47" s="1"/>
  <c r="AJ47" s="1"/>
  <c r="AN47" s="1"/>
  <c r="AH45"/>
  <c r="AI45" s="1"/>
  <c r="AJ45" s="1"/>
  <c r="AN45" s="1"/>
  <c r="AH43"/>
  <c r="AI43" s="1"/>
  <c r="AJ43" s="1"/>
  <c r="AN43" s="1"/>
  <c r="AH41"/>
  <c r="AI41" s="1"/>
  <c r="AJ41" s="1"/>
  <c r="AN41" s="1"/>
  <c r="AH39"/>
  <c r="AI39" s="1"/>
  <c r="AJ39" s="1"/>
  <c r="AN39" s="1"/>
  <c r="AH37"/>
  <c r="AI37" s="1"/>
  <c r="AJ37" s="1"/>
  <c r="AN37" s="1"/>
  <c r="AH33"/>
  <c r="AI33" s="1"/>
  <c r="AJ33" s="1"/>
  <c r="AN33" s="1"/>
  <c r="AH29"/>
  <c r="AI29" s="1"/>
  <c r="AJ29" s="1"/>
  <c r="AN29" s="1"/>
  <c r="AH22"/>
  <c r="AI22" s="1"/>
  <c r="AJ22" s="1"/>
  <c r="AN22" s="1"/>
  <c r="AL52"/>
  <c r="AL44"/>
  <c r="AL36"/>
  <c r="AL28"/>
  <c r="AL20"/>
  <c r="AL12"/>
  <c r="AL54"/>
  <c r="AO54" s="1"/>
  <c r="AL38"/>
  <c r="AO38" s="1"/>
  <c r="AL22"/>
  <c r="AK8" i="1"/>
  <c r="AK17"/>
  <c r="AK25"/>
  <c r="AK32"/>
  <c r="AK38"/>
  <c r="AK41"/>
  <c r="AK45"/>
  <c r="AK49"/>
  <c r="AK54"/>
  <c r="AK9"/>
  <c r="AK13"/>
  <c r="AK18"/>
  <c r="AK22"/>
  <c r="AK26"/>
  <c r="AK31"/>
  <c r="AK35"/>
  <c r="AK39"/>
  <c r="AK44"/>
  <c r="AK48"/>
  <c r="AK52"/>
  <c r="AK55"/>
  <c r="AK58"/>
  <c r="AK21"/>
  <c r="AK29"/>
  <c r="AK43"/>
  <c r="AK51"/>
  <c r="AK57"/>
  <c r="AK16"/>
  <c r="AK24"/>
  <c r="AK33"/>
  <c r="AK42"/>
  <c r="AK50"/>
  <c r="AK56"/>
  <c r="AK14"/>
  <c r="AK36"/>
  <c r="AK40"/>
  <c r="AK47"/>
  <c r="AK11"/>
  <c r="AK20"/>
  <c r="AK28"/>
  <c r="AK37"/>
  <c r="AK46"/>
  <c r="AK53"/>
  <c r="AD57"/>
  <c r="AE57" s="1"/>
  <c r="AF57" s="1"/>
  <c r="AD53"/>
  <c r="AE53" s="1"/>
  <c r="AF53" s="1"/>
  <c r="AD49"/>
  <c r="AE49" s="1"/>
  <c r="AF49" s="1"/>
  <c r="AD45"/>
  <c r="AE45" s="1"/>
  <c r="AF45" s="1"/>
  <c r="AD41"/>
  <c r="AE41" s="1"/>
  <c r="AF41" s="1"/>
  <c r="AD37"/>
  <c r="AE37" s="1"/>
  <c r="AF37" s="1"/>
  <c r="AD56"/>
  <c r="AE56" s="1"/>
  <c r="AF56" s="1"/>
  <c r="AD52"/>
  <c r="AE52" s="1"/>
  <c r="AF52" s="1"/>
  <c r="AD48"/>
  <c r="AE48" s="1"/>
  <c r="AF48" s="1"/>
  <c r="AD44"/>
  <c r="AE44" s="1"/>
  <c r="AF44" s="1"/>
  <c r="AD40"/>
  <c r="AE40" s="1"/>
  <c r="AF40" s="1"/>
  <c r="AD36"/>
  <c r="AE36" s="1"/>
  <c r="AF36" s="1"/>
  <c r="AD32"/>
  <c r="AE32" s="1"/>
  <c r="AF32" s="1"/>
  <c r="AD28"/>
  <c r="AE28" s="1"/>
  <c r="AF28" s="1"/>
  <c r="AD24"/>
  <c r="AE24" s="1"/>
  <c r="AF24" s="1"/>
  <c r="AD20"/>
  <c r="AE20" s="1"/>
  <c r="AF20" s="1"/>
  <c r="AD16"/>
  <c r="AE16" s="1"/>
  <c r="AF16" s="1"/>
  <c r="AD12"/>
  <c r="AE12" s="1"/>
  <c r="AF12" s="1"/>
  <c r="AD21"/>
  <c r="AE21" s="1"/>
  <c r="AF21" s="1"/>
  <c r="AD15"/>
  <c r="AE15" s="1"/>
  <c r="AF15" s="1"/>
  <c r="AD35"/>
  <c r="AE35" s="1"/>
  <c r="AF35" s="1"/>
  <c r="AD31"/>
  <c r="AE31" s="1"/>
  <c r="AF31" s="1"/>
  <c r="AD25"/>
  <c r="AE25" s="1"/>
  <c r="AF25" s="1"/>
  <c r="AD17"/>
  <c r="AE17" s="1"/>
  <c r="AF17" s="1"/>
  <c r="AL34" i="37"/>
  <c r="AL42"/>
  <c r="AL26"/>
  <c r="AO26" s="1"/>
  <c r="AP6" i="1"/>
  <c r="AM57" i="37"/>
  <c r="AK34" i="1"/>
  <c r="AK30"/>
  <c r="AK27"/>
  <c r="AK23"/>
  <c r="AK19"/>
  <c r="AK15"/>
  <c r="AK10"/>
  <c r="G58" i="37"/>
  <c r="AH19"/>
  <c r="AI19" s="1"/>
  <c r="AJ19" s="1"/>
  <c r="AN19" s="1"/>
  <c r="AH11"/>
  <c r="AI11" s="1"/>
  <c r="AJ11" s="1"/>
  <c r="AN11" s="1"/>
  <c r="AH10"/>
  <c r="AI10" s="1"/>
  <c r="AJ10" s="1"/>
  <c r="AN10" s="1"/>
  <c r="AO10" s="1"/>
  <c r="AM52"/>
  <c r="AM44"/>
  <c r="AM36"/>
  <c r="AM28"/>
  <c r="AL57"/>
  <c r="AL53"/>
  <c r="AL49"/>
  <c r="AL45"/>
  <c r="AL41"/>
  <c r="AL37"/>
  <c r="AL33"/>
  <c r="AL29"/>
  <c r="AL25"/>
  <c r="AO25" s="1"/>
  <c r="AL21"/>
  <c r="AL17"/>
  <c r="AL13"/>
  <c r="AL9"/>
  <c r="AL56"/>
  <c r="AL48"/>
  <c r="AL40"/>
  <c r="AL32"/>
  <c r="AL24"/>
  <c r="AO24" s="1"/>
  <c r="AL16"/>
  <c r="AL8"/>
  <c r="AH36"/>
  <c r="AI36" s="1"/>
  <c r="AJ36" s="1"/>
  <c r="AN36" s="1"/>
  <c r="AH34"/>
  <c r="AI34" s="1"/>
  <c r="AJ34" s="1"/>
  <c r="AN34" s="1"/>
  <c r="AH32"/>
  <c r="AI32" s="1"/>
  <c r="AJ32" s="1"/>
  <c r="AN32" s="1"/>
  <c r="AH30"/>
  <c r="AI30" s="1"/>
  <c r="AJ30" s="1"/>
  <c r="AN30" s="1"/>
  <c r="AH28"/>
  <c r="AI28" s="1"/>
  <c r="AJ28" s="1"/>
  <c r="AN28" s="1"/>
  <c r="AH21"/>
  <c r="AI21" s="1"/>
  <c r="AJ21" s="1"/>
  <c r="AN21" s="1"/>
  <c r="AO21" s="1"/>
  <c r="AH17"/>
  <c r="AI17" s="1"/>
  <c r="AJ17" s="1"/>
  <c r="AN17" s="1"/>
  <c r="AH13"/>
  <c r="AI13" s="1"/>
  <c r="AJ13" s="1"/>
  <c r="AN13" s="1"/>
  <c r="AH8"/>
  <c r="AI8" s="1"/>
  <c r="AJ8" s="1"/>
  <c r="AN8" s="1"/>
  <c r="AO30"/>
  <c r="AO46"/>
  <c r="AL55"/>
  <c r="AL51"/>
  <c r="AL47"/>
  <c r="AL43"/>
  <c r="AL39"/>
  <c r="AL35"/>
  <c r="AL31"/>
  <c r="AL27"/>
  <c r="AL23"/>
  <c r="AL19"/>
  <c r="AL15"/>
  <c r="AL11"/>
  <c r="AO11" s="1"/>
  <c r="AL7"/>
  <c r="AK12" i="1"/>
  <c r="AH20" i="37"/>
  <c r="AI20" s="1"/>
  <c r="AJ20" s="1"/>
  <c r="AN20" s="1"/>
  <c r="AH18"/>
  <c r="AI18" s="1"/>
  <c r="AJ18" s="1"/>
  <c r="AN18" s="1"/>
  <c r="AO18" s="1"/>
  <c r="AH16"/>
  <c r="AI16" s="1"/>
  <c r="AJ16" s="1"/>
  <c r="AN16" s="1"/>
  <c r="AH14"/>
  <c r="AI14" s="1"/>
  <c r="AJ14" s="1"/>
  <c r="AN14" s="1"/>
  <c r="AH12"/>
  <c r="AI12" s="1"/>
  <c r="AJ12" s="1"/>
  <c r="AN12" s="1"/>
  <c r="AO12" s="1"/>
  <c r="AH9"/>
  <c r="AI9" s="1"/>
  <c r="AJ9" s="1"/>
  <c r="AN9" s="1"/>
  <c r="F58"/>
  <c r="AO14"/>
  <c r="AO42"/>
  <c r="K7"/>
  <c r="AM7" s="1"/>
  <c r="AI7"/>
  <c r="J58" i="36"/>
  <c r="J56"/>
  <c r="J54"/>
  <c r="J52"/>
  <c r="J50"/>
  <c r="J48"/>
  <c r="J46"/>
  <c r="J44"/>
  <c r="J42"/>
  <c r="J40"/>
  <c r="J38"/>
  <c r="J36"/>
  <c r="J34"/>
  <c r="J32"/>
  <c r="J30"/>
  <c r="J28"/>
  <c r="J26"/>
  <c r="J24"/>
  <c r="J22"/>
  <c r="J20"/>
  <c r="J18"/>
  <c r="J16"/>
  <c r="J14"/>
  <c r="J12"/>
  <c r="J10"/>
  <c r="J8"/>
  <c r="J57"/>
  <c r="J55"/>
  <c r="J53"/>
  <c r="J51"/>
  <c r="J49"/>
  <c r="J47"/>
  <c r="J45"/>
  <c r="J43"/>
  <c r="J41"/>
  <c r="J39"/>
  <c r="J37"/>
  <c r="J35"/>
  <c r="J33"/>
  <c r="J31"/>
  <c r="J29"/>
  <c r="J27"/>
  <c r="J25"/>
  <c r="J23"/>
  <c r="J21"/>
  <c r="J19"/>
  <c r="J17"/>
  <c r="J15"/>
  <c r="J13"/>
  <c r="J11"/>
  <c r="J9"/>
  <c r="AE8" i="1"/>
  <c r="AO6" l="1"/>
  <c r="AN6"/>
  <c r="AO35" i="37"/>
  <c r="AO28"/>
  <c r="AO48"/>
  <c r="AO50"/>
  <c r="AO23"/>
  <c r="AO39"/>
  <c r="AK59" i="1"/>
  <c r="AO8" i="37"/>
  <c r="AO17"/>
  <c r="AO36"/>
  <c r="AO52"/>
  <c r="AO20"/>
  <c r="AO31"/>
  <c r="AO34"/>
  <c r="AO56"/>
  <c r="AO44"/>
  <c r="AO22"/>
  <c r="AO19"/>
  <c r="AO27"/>
  <c r="AD59" i="1"/>
  <c r="AM6"/>
  <c r="AO43" i="37"/>
  <c r="AO47"/>
  <c r="AO51"/>
  <c r="AO55"/>
  <c r="AO16"/>
  <c r="AO32"/>
  <c r="AO40"/>
  <c r="AO9"/>
  <c r="AO13"/>
  <c r="AO29"/>
  <c r="AO33"/>
  <c r="AO37"/>
  <c r="AO41"/>
  <c r="AO45"/>
  <c r="AO49"/>
  <c r="AO53"/>
  <c r="AO57"/>
  <c r="AH58"/>
  <c r="AO15"/>
  <c r="AI58"/>
  <c r="AJ7"/>
  <c r="AN7" s="1"/>
  <c r="AN58" s="1"/>
  <c r="K58"/>
  <c r="J59" i="36"/>
  <c r="AE59" i="1"/>
  <c r="AF8"/>
  <c r="AO57" l="1"/>
  <c r="AO55"/>
  <c r="AO53"/>
  <c r="AO51"/>
  <c r="AO49"/>
  <c r="AO47"/>
  <c r="AO45"/>
  <c r="AO43"/>
  <c r="AO41"/>
  <c r="AO39"/>
  <c r="AO37"/>
  <c r="AO35"/>
  <c r="AO33"/>
  <c r="AO31"/>
  <c r="AO29"/>
  <c r="AO27"/>
  <c r="AO25"/>
  <c r="AO23"/>
  <c r="AO21"/>
  <c r="AO19"/>
  <c r="AO17"/>
  <c r="AO15"/>
  <c r="AO13"/>
  <c r="AO11"/>
  <c r="AO9"/>
  <c r="AO58"/>
  <c r="AO56"/>
  <c r="AO54"/>
  <c r="AO52"/>
  <c r="AO50"/>
  <c r="AO48"/>
  <c r="AO46"/>
  <c r="AO44"/>
  <c r="AO42"/>
  <c r="AO40"/>
  <c r="AO38"/>
  <c r="AO36"/>
  <c r="AO34"/>
  <c r="AO32"/>
  <c r="AO30"/>
  <c r="AO28"/>
  <c r="AO26"/>
  <c r="AO24"/>
  <c r="AO22"/>
  <c r="AO20"/>
  <c r="AO18"/>
  <c r="AO16"/>
  <c r="AO14"/>
  <c r="AO12"/>
  <c r="AO10"/>
  <c r="AO8"/>
  <c r="AN58"/>
  <c r="AN56"/>
  <c r="AN54"/>
  <c r="AN52"/>
  <c r="AN50"/>
  <c r="AN48"/>
  <c r="AN46"/>
  <c r="AN44"/>
  <c r="AN42"/>
  <c r="AN40"/>
  <c r="AN38"/>
  <c r="AN36"/>
  <c r="AN34"/>
  <c r="AN32"/>
  <c r="AN30"/>
  <c r="AN28"/>
  <c r="AN26"/>
  <c r="AN24"/>
  <c r="AN22"/>
  <c r="AN20"/>
  <c r="AN18"/>
  <c r="AN16"/>
  <c r="AN14"/>
  <c r="AN12"/>
  <c r="AN10"/>
  <c r="AN13"/>
  <c r="AN9"/>
  <c r="AN57"/>
  <c r="AN55"/>
  <c r="AN53"/>
  <c r="AN51"/>
  <c r="AN49"/>
  <c r="AN47"/>
  <c r="AN45"/>
  <c r="AN43"/>
  <c r="AN41"/>
  <c r="AN39"/>
  <c r="AN37"/>
  <c r="AN35"/>
  <c r="AN33"/>
  <c r="AN31"/>
  <c r="AN29"/>
  <c r="AN27"/>
  <c r="AN25"/>
  <c r="AN23"/>
  <c r="AN21"/>
  <c r="AN19"/>
  <c r="AN17"/>
  <c r="AN15"/>
  <c r="AN11"/>
  <c r="AF59"/>
  <c r="AN8"/>
  <c r="AL58" i="37"/>
  <c r="AJ58"/>
  <c r="AM58"/>
  <c r="AN59" i="1" l="1"/>
  <c r="AO59"/>
  <c r="AO7" i="37"/>
  <c r="K59" i="36"/>
  <c r="AO58" i="37" l="1"/>
  <c r="AP7" s="1"/>
  <c r="C7" i="28"/>
  <c r="C58" l="1"/>
  <c r="AP20" i="37"/>
  <c r="AP16"/>
  <c r="AP21"/>
  <c r="AP17"/>
  <c r="AP14"/>
  <c r="AP12"/>
  <c r="AP9"/>
  <c r="AP56"/>
  <c r="AP54"/>
  <c r="AP52"/>
  <c r="AP50"/>
  <c r="AP48"/>
  <c r="AP46"/>
  <c r="AP44"/>
  <c r="AP42"/>
  <c r="AP40"/>
  <c r="AP38"/>
  <c r="AP36"/>
  <c r="AP34"/>
  <c r="AP32"/>
  <c r="AP30"/>
  <c r="AP28"/>
  <c r="AP23"/>
  <c r="AP22"/>
  <c r="AP18"/>
  <c r="AP10"/>
  <c r="AP19"/>
  <c r="AP15"/>
  <c r="AP13"/>
  <c r="AP11"/>
  <c r="AP57"/>
  <c r="AP55"/>
  <c r="AP53"/>
  <c r="AP51"/>
  <c r="AP49"/>
  <c r="AP47"/>
  <c r="AP45"/>
  <c r="AP43"/>
  <c r="AP41"/>
  <c r="AP39"/>
  <c r="AP37"/>
  <c r="AP35"/>
  <c r="AP33"/>
  <c r="AP31"/>
  <c r="AP29"/>
  <c r="AP27"/>
  <c r="AP8"/>
  <c r="AP26"/>
  <c r="AP24"/>
  <c r="AP25"/>
  <c r="AP58" l="1"/>
  <c r="E59" i="1"/>
  <c r="F19" s="1"/>
  <c r="G19" s="1"/>
  <c r="B59"/>
  <c r="C11" s="1"/>
  <c r="C10"/>
  <c r="C25"/>
  <c r="C39"/>
  <c r="D39" s="1"/>
  <c r="C47"/>
  <c r="D47" s="1"/>
  <c r="C55"/>
  <c r="D55" s="1"/>
  <c r="C53" l="1"/>
  <c r="D53" s="1"/>
  <c r="C43"/>
  <c r="D43" s="1"/>
  <c r="C33"/>
  <c r="D33" s="1"/>
  <c r="C18"/>
  <c r="C56"/>
  <c r="F59"/>
  <c r="F27"/>
  <c r="G27" s="1"/>
  <c r="F43"/>
  <c r="G43" s="1"/>
  <c r="F11"/>
  <c r="G11" s="1"/>
  <c r="C34"/>
  <c r="C48"/>
  <c r="C17"/>
  <c r="C57"/>
  <c r="D57" s="1"/>
  <c r="C49"/>
  <c r="D49" s="1"/>
  <c r="C45"/>
  <c r="D45" s="1"/>
  <c r="C41"/>
  <c r="D41" s="1"/>
  <c r="C37"/>
  <c r="D37" s="1"/>
  <c r="C29"/>
  <c r="C21"/>
  <c r="D21" s="1"/>
  <c r="C14"/>
  <c r="C51"/>
  <c r="D51" s="1"/>
  <c r="C52"/>
  <c r="C42"/>
  <c r="D42" s="1"/>
  <c r="C26"/>
  <c r="C9"/>
  <c r="D9" s="1"/>
  <c r="F51"/>
  <c r="G51" s="1"/>
  <c r="F35"/>
  <c r="G35" s="1"/>
  <c r="C35"/>
  <c r="D35" s="1"/>
  <c r="C31"/>
  <c r="C27"/>
  <c r="C23"/>
  <c r="C19"/>
  <c r="C16"/>
  <c r="C12"/>
  <c r="C8"/>
  <c r="C58"/>
  <c r="C54"/>
  <c r="C50"/>
  <c r="C46"/>
  <c r="C38"/>
  <c r="C30"/>
  <c r="C22"/>
  <c r="C13"/>
  <c r="C44"/>
  <c r="C40"/>
  <c r="C36"/>
  <c r="C32"/>
  <c r="C28"/>
  <c r="C24"/>
  <c r="C20"/>
  <c r="C15"/>
  <c r="F8"/>
  <c r="G8" s="1"/>
  <c r="AI59"/>
  <c r="F55"/>
  <c r="G55" s="1"/>
  <c r="H55" s="1"/>
  <c r="AM55" s="1"/>
  <c r="AP55" s="1"/>
  <c r="F47"/>
  <c r="G47" s="1"/>
  <c r="H47" s="1"/>
  <c r="AM47" s="1"/>
  <c r="AP47" s="1"/>
  <c r="F39"/>
  <c r="G39" s="1"/>
  <c r="H39" s="1"/>
  <c r="AM39" s="1"/>
  <c r="AP39" s="1"/>
  <c r="F31"/>
  <c r="G31" s="1"/>
  <c r="F23"/>
  <c r="G23" s="1"/>
  <c r="F15"/>
  <c r="G15" s="1"/>
  <c r="F57"/>
  <c r="G57" s="1"/>
  <c r="F53"/>
  <c r="G53" s="1"/>
  <c r="F49"/>
  <c r="G49" s="1"/>
  <c r="H49" s="1"/>
  <c r="AM49" s="1"/>
  <c r="AP49" s="1"/>
  <c r="F45"/>
  <c r="G45" s="1"/>
  <c r="H45" s="1"/>
  <c r="AM45" s="1"/>
  <c r="AP45" s="1"/>
  <c r="F41"/>
  <c r="G41" s="1"/>
  <c r="H41" s="1"/>
  <c r="AM41" s="1"/>
  <c r="AP41" s="1"/>
  <c r="F37"/>
  <c r="G37" s="1"/>
  <c r="H37" s="1"/>
  <c r="AM37" s="1"/>
  <c r="AP37" s="1"/>
  <c r="F33"/>
  <c r="G33" s="1"/>
  <c r="F29"/>
  <c r="G29" s="1"/>
  <c r="F25"/>
  <c r="G25" s="1"/>
  <c r="F21"/>
  <c r="G21" s="1"/>
  <c r="F17"/>
  <c r="G17" s="1"/>
  <c r="F13"/>
  <c r="G13" s="1"/>
  <c r="F9"/>
  <c r="G9" s="1"/>
  <c r="H53"/>
  <c r="AM53" s="1"/>
  <c r="AP53" s="1"/>
  <c r="H43"/>
  <c r="AM43" s="1"/>
  <c r="AP43" s="1"/>
  <c r="H35"/>
  <c r="AM35" s="1"/>
  <c r="AP35" s="1"/>
  <c r="D29"/>
  <c r="D25"/>
  <c r="D18"/>
  <c r="D14"/>
  <c r="D10"/>
  <c r="D56"/>
  <c r="D52"/>
  <c r="D48"/>
  <c r="D44"/>
  <c r="D40"/>
  <c r="D36"/>
  <c r="D32"/>
  <c r="D28"/>
  <c r="D24"/>
  <c r="D20"/>
  <c r="D15"/>
  <c r="H15" s="1"/>
  <c r="AM15" s="1"/>
  <c r="AP15" s="1"/>
  <c r="D11"/>
  <c r="D31"/>
  <c r="H31" s="1"/>
  <c r="AM31" s="1"/>
  <c r="AP31" s="1"/>
  <c r="D27"/>
  <c r="D23"/>
  <c r="H23" s="1"/>
  <c r="AM23" s="1"/>
  <c r="AP23" s="1"/>
  <c r="D19"/>
  <c r="H19" s="1"/>
  <c r="AM19" s="1"/>
  <c r="AP19" s="1"/>
  <c r="D16"/>
  <c r="D12"/>
  <c r="D8"/>
  <c r="H8" s="1"/>
  <c r="AM8" s="1"/>
  <c r="D58"/>
  <c r="D54"/>
  <c r="D50"/>
  <c r="D46"/>
  <c r="D38"/>
  <c r="D34"/>
  <c r="D30"/>
  <c r="D26"/>
  <c r="D22"/>
  <c r="D17"/>
  <c r="D13"/>
  <c r="F58"/>
  <c r="G58" s="1"/>
  <c r="F56"/>
  <c r="G56" s="1"/>
  <c r="F54"/>
  <c r="G54" s="1"/>
  <c r="H54" s="1"/>
  <c r="AM54" s="1"/>
  <c r="AP54" s="1"/>
  <c r="F52"/>
  <c r="G52" s="1"/>
  <c r="H52" s="1"/>
  <c r="AM52" s="1"/>
  <c r="AP52" s="1"/>
  <c r="F50"/>
  <c r="G50" s="1"/>
  <c r="F48"/>
  <c r="G48" s="1"/>
  <c r="F46"/>
  <c r="G46" s="1"/>
  <c r="H46" s="1"/>
  <c r="AM46" s="1"/>
  <c r="AP46" s="1"/>
  <c r="F44"/>
  <c r="G44" s="1"/>
  <c r="H44" s="1"/>
  <c r="AM44" s="1"/>
  <c r="AP44" s="1"/>
  <c r="F42"/>
  <c r="G42" s="1"/>
  <c r="F40"/>
  <c r="G40" s="1"/>
  <c r="F38"/>
  <c r="G38" s="1"/>
  <c r="H38" s="1"/>
  <c r="AM38" s="1"/>
  <c r="AP38" s="1"/>
  <c r="F36"/>
  <c r="G36" s="1"/>
  <c r="H36" s="1"/>
  <c r="AM36" s="1"/>
  <c r="AP36" s="1"/>
  <c r="F34"/>
  <c r="G34" s="1"/>
  <c r="F32"/>
  <c r="G32" s="1"/>
  <c r="F30"/>
  <c r="G30" s="1"/>
  <c r="H30" s="1"/>
  <c r="AM30" s="1"/>
  <c r="AP30" s="1"/>
  <c r="F28"/>
  <c r="G28" s="1"/>
  <c r="H28" s="1"/>
  <c r="AM28" s="1"/>
  <c r="AP28" s="1"/>
  <c r="F26"/>
  <c r="G26" s="1"/>
  <c r="F24"/>
  <c r="G24" s="1"/>
  <c r="F22"/>
  <c r="G22" s="1"/>
  <c r="H22" s="1"/>
  <c r="AM22" s="1"/>
  <c r="AP22" s="1"/>
  <c r="F20"/>
  <c r="G20" s="1"/>
  <c r="H20" s="1"/>
  <c r="AM20" s="1"/>
  <c r="AP20" s="1"/>
  <c r="F18"/>
  <c r="G18" s="1"/>
  <c r="H18" s="1"/>
  <c r="AM18" s="1"/>
  <c r="AP18" s="1"/>
  <c r="F16"/>
  <c r="G16" s="1"/>
  <c r="F14"/>
  <c r="G14" s="1"/>
  <c r="H14" s="1"/>
  <c r="AM14" s="1"/>
  <c r="AP14" s="1"/>
  <c r="F12"/>
  <c r="G12" s="1"/>
  <c r="H12" s="1"/>
  <c r="AM12" s="1"/>
  <c r="AP12" s="1"/>
  <c r="F10"/>
  <c r="G10" s="1"/>
  <c r="H51" l="1"/>
  <c r="AM51" s="1"/>
  <c r="AP51" s="1"/>
  <c r="H13"/>
  <c r="AM13" s="1"/>
  <c r="AP13" s="1"/>
  <c r="H27"/>
  <c r="AM27" s="1"/>
  <c r="AP27" s="1"/>
  <c r="H11"/>
  <c r="AM11" s="1"/>
  <c r="AP11" s="1"/>
  <c r="H33"/>
  <c r="AM33" s="1"/>
  <c r="AP33" s="1"/>
  <c r="H57"/>
  <c r="AM57" s="1"/>
  <c r="AP57" s="1"/>
  <c r="C59"/>
  <c r="H21"/>
  <c r="AM21" s="1"/>
  <c r="AP21" s="1"/>
  <c r="H29"/>
  <c r="AM29" s="1"/>
  <c r="AP29" s="1"/>
  <c r="H26"/>
  <c r="AM26" s="1"/>
  <c r="AP26" s="1"/>
  <c r="H34"/>
  <c r="AM34" s="1"/>
  <c r="AP34" s="1"/>
  <c r="H42"/>
  <c r="AM42" s="1"/>
  <c r="AP42" s="1"/>
  <c r="H50"/>
  <c r="AM50" s="1"/>
  <c r="AP50" s="1"/>
  <c r="H58"/>
  <c r="AM58" s="1"/>
  <c r="AP58" s="1"/>
  <c r="H25"/>
  <c r="AM25" s="1"/>
  <c r="AP25" s="1"/>
  <c r="AP8"/>
  <c r="H16"/>
  <c r="AM16" s="1"/>
  <c r="AP16" s="1"/>
  <c r="H24"/>
  <c r="AM24" s="1"/>
  <c r="AP24" s="1"/>
  <c r="H32"/>
  <c r="AM32" s="1"/>
  <c r="AP32" s="1"/>
  <c r="H40"/>
  <c r="AM40" s="1"/>
  <c r="AP40" s="1"/>
  <c r="H48"/>
  <c r="AM48" s="1"/>
  <c r="AP48" s="1"/>
  <c r="H56"/>
  <c r="AM56" s="1"/>
  <c r="AP56" s="1"/>
  <c r="H9"/>
  <c r="AM9" s="1"/>
  <c r="AP9" s="1"/>
  <c r="H17"/>
  <c r="AM17" s="1"/>
  <c r="AP17" s="1"/>
  <c r="G59"/>
  <c r="H10"/>
  <c r="AM10" s="1"/>
  <c r="AP10" s="1"/>
  <c r="D59"/>
  <c r="AP59" l="1"/>
  <c r="AM59"/>
  <c r="H59"/>
  <c r="AQ8" l="1"/>
  <c r="H8" i="36" s="1"/>
  <c r="AQ48" i="1"/>
  <c r="H48" i="36" s="1"/>
  <c r="L48" s="1"/>
  <c r="M48" s="1"/>
  <c r="D47" i="28" s="1"/>
  <c r="I47" s="1"/>
  <c r="AQ24" i="1"/>
  <c r="H24" i="36" s="1"/>
  <c r="L24" s="1"/>
  <c r="M24" s="1"/>
  <c r="D23" i="28" s="1"/>
  <c r="I23" s="1"/>
  <c r="AQ16" i="1"/>
  <c r="H16" i="36" s="1"/>
  <c r="L16" s="1"/>
  <c r="M16" s="1"/>
  <c r="D15" i="28" s="1"/>
  <c r="I15" s="1"/>
  <c r="AQ9" i="1"/>
  <c r="H9" i="36" s="1"/>
  <c r="L9" s="1"/>
  <c r="M9" s="1"/>
  <c r="D8" i="28" s="1"/>
  <c r="I8" s="1"/>
  <c r="AQ56" i="1"/>
  <c r="H56" i="36" s="1"/>
  <c r="L56" s="1"/>
  <c r="M56" s="1"/>
  <c r="D55" i="28" s="1"/>
  <c r="I55" s="1"/>
  <c r="AQ32" i="1"/>
  <c r="H32" i="36" s="1"/>
  <c r="L32" s="1"/>
  <c r="M32" s="1"/>
  <c r="D31" i="28" s="1"/>
  <c r="I31" s="1"/>
  <c r="AQ17" i="1"/>
  <c r="H17" i="36" s="1"/>
  <c r="L17" s="1"/>
  <c r="M17" s="1"/>
  <c r="D16" i="28" s="1"/>
  <c r="I16" s="1"/>
  <c r="AQ10" i="1"/>
  <c r="H10" i="36" s="1"/>
  <c r="L10" s="1"/>
  <c r="M10" s="1"/>
  <c r="D9" i="28" s="1"/>
  <c r="I9" s="1"/>
  <c r="AQ40" i="1"/>
  <c r="H40" i="36" s="1"/>
  <c r="L40" s="1"/>
  <c r="M40" s="1"/>
  <c r="D39" i="28" s="1"/>
  <c r="I39" s="1"/>
  <c r="AQ14" i="1"/>
  <c r="H14" i="36" s="1"/>
  <c r="L14" s="1"/>
  <c r="M14" s="1"/>
  <c r="D13" i="28" s="1"/>
  <c r="I13" s="1"/>
  <c r="AQ26" i="1"/>
  <c r="H26" i="36" s="1"/>
  <c r="L26" s="1"/>
  <c r="M26" s="1"/>
  <c r="D25" i="28" s="1"/>
  <c r="I25" s="1"/>
  <c r="AQ42" i="1"/>
  <c r="H42" i="36" s="1"/>
  <c r="L42" s="1"/>
  <c r="M42" s="1"/>
  <c r="D41" i="28" s="1"/>
  <c r="I41" s="1"/>
  <c r="AQ58" i="1"/>
  <c r="H58" i="36" s="1"/>
  <c r="L58" s="1"/>
  <c r="M58" s="1"/>
  <c r="D57" i="28" s="1"/>
  <c r="I57" s="1"/>
  <c r="AQ15" i="1"/>
  <c r="H15" i="36" s="1"/>
  <c r="L15" s="1"/>
  <c r="M15" s="1"/>
  <c r="D14" i="28" s="1"/>
  <c r="I14" s="1"/>
  <c r="AQ43" i="1"/>
  <c r="H43" i="36" s="1"/>
  <c r="L43" s="1"/>
  <c r="M43" s="1"/>
  <c r="D42" i="28" s="1"/>
  <c r="I42" s="1"/>
  <c r="AQ45" i="1"/>
  <c r="H45" i="36" s="1"/>
  <c r="L45" s="1"/>
  <c r="M45" s="1"/>
  <c r="D44" i="28" s="1"/>
  <c r="I44" s="1"/>
  <c r="AQ41" i="1"/>
  <c r="H41" i="36" s="1"/>
  <c r="L41" s="1"/>
  <c r="M41" s="1"/>
  <c r="D40" i="28" s="1"/>
  <c r="I40" s="1"/>
  <c r="AQ57" i="1"/>
  <c r="H57" i="36" s="1"/>
  <c r="L57" s="1"/>
  <c r="M57" s="1"/>
  <c r="D56" i="28" s="1"/>
  <c r="I56" s="1"/>
  <c r="AQ51" i="1"/>
  <c r="H51" i="36" s="1"/>
  <c r="L51" s="1"/>
  <c r="M51" s="1"/>
  <c r="D50" i="28" s="1"/>
  <c r="I50" s="1"/>
  <c r="AQ37" i="1"/>
  <c r="H37" i="36" s="1"/>
  <c r="L37" s="1"/>
  <c r="M37" s="1"/>
  <c r="D36" i="28" s="1"/>
  <c r="I36" s="1"/>
  <c r="AQ54" i="1"/>
  <c r="H54" i="36" s="1"/>
  <c r="L54" s="1"/>
  <c r="M54" s="1"/>
  <c r="D53" i="28" s="1"/>
  <c r="I53" s="1"/>
  <c r="AQ47" i="1"/>
  <c r="H47" i="36" s="1"/>
  <c r="L47" s="1"/>
  <c r="M47" s="1"/>
  <c r="D46" i="28" s="1"/>
  <c r="I46" s="1"/>
  <c r="AQ22" i="1"/>
  <c r="H22" i="36" s="1"/>
  <c r="L22" s="1"/>
  <c r="M22" s="1"/>
  <c r="D21" i="28" s="1"/>
  <c r="I21" s="1"/>
  <c r="AQ34" i="1"/>
  <c r="H34" i="36" s="1"/>
  <c r="L34" s="1"/>
  <c r="M34" s="1"/>
  <c r="D33" i="28" s="1"/>
  <c r="I33" s="1"/>
  <c r="AQ50" i="1"/>
  <c r="H50" i="36" s="1"/>
  <c r="L50" s="1"/>
  <c r="M50" s="1"/>
  <c r="D49" i="28" s="1"/>
  <c r="I49" s="1"/>
  <c r="AQ23" i="1"/>
  <c r="H23" i="36" s="1"/>
  <c r="L23" s="1"/>
  <c r="M23" s="1"/>
  <c r="D22" i="28" s="1"/>
  <c r="I22" s="1"/>
  <c r="AQ35" i="1"/>
  <c r="H35" i="36" s="1"/>
  <c r="L35" s="1"/>
  <c r="M35" s="1"/>
  <c r="D34" i="28" s="1"/>
  <c r="I34" s="1"/>
  <c r="AQ55" i="1"/>
  <c r="H55" i="36" s="1"/>
  <c r="L55" s="1"/>
  <c r="M55" s="1"/>
  <c r="D54" i="28" s="1"/>
  <c r="I54" s="1"/>
  <c r="AQ33" i="1"/>
  <c r="H33" i="36" s="1"/>
  <c r="L33" s="1"/>
  <c r="M33" s="1"/>
  <c r="D32" i="28" s="1"/>
  <c r="I32" s="1"/>
  <c r="AQ49" i="1"/>
  <c r="H49" i="36" s="1"/>
  <c r="L49" s="1"/>
  <c r="M49" s="1"/>
  <c r="D48" i="28" s="1"/>
  <c r="I48" s="1"/>
  <c r="AQ12" i="1"/>
  <c r="H12" i="36" s="1"/>
  <c r="L12" s="1"/>
  <c r="M12" s="1"/>
  <c r="D11" i="28" s="1"/>
  <c r="I11" s="1"/>
  <c r="AQ20" i="1"/>
  <c r="H20" i="36" s="1"/>
  <c r="L20" s="1"/>
  <c r="M20" s="1"/>
  <c r="D19" i="28" s="1"/>
  <c r="I19" s="1"/>
  <c r="AQ28" i="1"/>
  <c r="H28" i="36" s="1"/>
  <c r="L28" s="1"/>
  <c r="M28" s="1"/>
  <c r="D27" i="28" s="1"/>
  <c r="I27" s="1"/>
  <c r="AQ36" i="1"/>
  <c r="H36" i="36" s="1"/>
  <c r="L36" s="1"/>
  <c r="M36" s="1"/>
  <c r="D35" i="28" s="1"/>
  <c r="I35" s="1"/>
  <c r="AQ44" i="1"/>
  <c r="H44" i="36" s="1"/>
  <c r="L44" s="1"/>
  <c r="M44" s="1"/>
  <c r="D43" i="28" s="1"/>
  <c r="I43" s="1"/>
  <c r="AQ52" i="1"/>
  <c r="H52" i="36" s="1"/>
  <c r="L52" s="1"/>
  <c r="M52" s="1"/>
  <c r="D51" i="28" s="1"/>
  <c r="I51" s="1"/>
  <c r="AQ19" i="1"/>
  <c r="H19" i="36" s="1"/>
  <c r="L19" s="1"/>
  <c r="M19" s="1"/>
  <c r="D18" i="28" s="1"/>
  <c r="I18" s="1"/>
  <c r="AQ11" i="1"/>
  <c r="H11" i="36" s="1"/>
  <c r="L11" s="1"/>
  <c r="M11" s="1"/>
  <c r="D10" i="28" s="1"/>
  <c r="I10" s="1"/>
  <c r="AQ21" i="1"/>
  <c r="H21" i="36" s="1"/>
  <c r="L21" s="1"/>
  <c r="M21" s="1"/>
  <c r="AQ39" i="1"/>
  <c r="H39" i="36" s="1"/>
  <c r="L39" s="1"/>
  <c r="M39" s="1"/>
  <c r="D38" i="28" s="1"/>
  <c r="I38" s="1"/>
  <c r="AQ53" i="1"/>
  <c r="H53" i="36" s="1"/>
  <c r="L53" s="1"/>
  <c r="M53" s="1"/>
  <c r="D52" i="28" s="1"/>
  <c r="I52" s="1"/>
  <c r="AQ30" i="1"/>
  <c r="H30" i="36" s="1"/>
  <c r="L30" s="1"/>
  <c r="M30" s="1"/>
  <c r="D29" i="28" s="1"/>
  <c r="I29" s="1"/>
  <c r="AQ46" i="1"/>
  <c r="H46" i="36" s="1"/>
  <c r="L46" s="1"/>
  <c r="M46" s="1"/>
  <c r="D45" i="28" s="1"/>
  <c r="I45" s="1"/>
  <c r="AQ13" i="1"/>
  <c r="H13" i="36" s="1"/>
  <c r="L13" s="1"/>
  <c r="M13" s="1"/>
  <c r="D12" i="28" s="1"/>
  <c r="I12" s="1"/>
  <c r="AQ25" i="1"/>
  <c r="H25" i="36" s="1"/>
  <c r="L25" s="1"/>
  <c r="M25" s="1"/>
  <c r="D24" i="28" s="1"/>
  <c r="I24" s="1"/>
  <c r="AQ27" i="1"/>
  <c r="H27" i="36" s="1"/>
  <c r="L27" s="1"/>
  <c r="M27" s="1"/>
  <c r="D26" i="28" s="1"/>
  <c r="I26" s="1"/>
  <c r="AQ29" i="1"/>
  <c r="H29" i="36" s="1"/>
  <c r="L29" s="1"/>
  <c r="M29" s="1"/>
  <c r="D28" i="28" s="1"/>
  <c r="I28" s="1"/>
  <c r="AQ18" i="1"/>
  <c r="H18" i="36" s="1"/>
  <c r="L18" s="1"/>
  <c r="M18" s="1"/>
  <c r="D17" i="28" s="1"/>
  <c r="I17" s="1"/>
  <c r="AQ38" i="1"/>
  <c r="H38" i="36" s="1"/>
  <c r="L38" s="1"/>
  <c r="M38" s="1"/>
  <c r="D37" i="28" s="1"/>
  <c r="I37" s="1"/>
  <c r="AQ31" i="1"/>
  <c r="H31" i="36" s="1"/>
  <c r="L31" s="1"/>
  <c r="M31" s="1"/>
  <c r="D30" i="28" s="1"/>
  <c r="I30" s="1"/>
  <c r="F30" l="1"/>
  <c r="E30"/>
  <c r="F26"/>
  <c r="E26"/>
  <c r="F29"/>
  <c r="E29"/>
  <c r="F37"/>
  <c r="E37"/>
  <c r="F28"/>
  <c r="E28"/>
  <c r="F24"/>
  <c r="E24"/>
  <c r="F45"/>
  <c r="E45"/>
  <c r="F52"/>
  <c r="E52"/>
  <c r="F18"/>
  <c r="E18"/>
  <c r="F43"/>
  <c r="E43"/>
  <c r="F27"/>
  <c r="E27"/>
  <c r="F11"/>
  <c r="E11"/>
  <c r="F32"/>
  <c r="E32"/>
  <c r="F34"/>
  <c r="E34"/>
  <c r="F49"/>
  <c r="E49"/>
  <c r="F21"/>
  <c r="E21"/>
  <c r="F53"/>
  <c r="E53"/>
  <c r="F50"/>
  <c r="E50"/>
  <c r="F40"/>
  <c r="E40"/>
  <c r="F42"/>
  <c r="E42"/>
  <c r="F57"/>
  <c r="E57"/>
  <c r="F25"/>
  <c r="E25"/>
  <c r="F39"/>
  <c r="E39"/>
  <c r="F16"/>
  <c r="E16"/>
  <c r="F55"/>
  <c r="E55"/>
  <c r="F15"/>
  <c r="E15"/>
  <c r="F47"/>
  <c r="E47"/>
  <c r="F17"/>
  <c r="E17"/>
  <c r="F12"/>
  <c r="E12"/>
  <c r="F38"/>
  <c r="E38"/>
  <c r="F10"/>
  <c r="E10"/>
  <c r="F51"/>
  <c r="E51"/>
  <c r="F35"/>
  <c r="E35"/>
  <c r="F19"/>
  <c r="E19"/>
  <c r="F48"/>
  <c r="E48"/>
  <c r="F54"/>
  <c r="E54"/>
  <c r="F22"/>
  <c r="E22"/>
  <c r="F33"/>
  <c r="E33"/>
  <c r="F46"/>
  <c r="E46"/>
  <c r="F36"/>
  <c r="E36"/>
  <c r="F56"/>
  <c r="E56"/>
  <c r="F44"/>
  <c r="E44"/>
  <c r="F14"/>
  <c r="E14"/>
  <c r="F41"/>
  <c r="E41"/>
  <c r="F13"/>
  <c r="E13"/>
  <c r="F9"/>
  <c r="E9"/>
  <c r="F31"/>
  <c r="E31"/>
  <c r="F8"/>
  <c r="E8"/>
  <c r="F23"/>
  <c r="E23"/>
  <c r="D20"/>
  <c r="AQ59" i="1"/>
  <c r="L8" i="36"/>
  <c r="H59"/>
  <c r="E20" i="28" l="1"/>
  <c r="I20"/>
  <c r="J23"/>
  <c r="G23"/>
  <c r="H23" s="1"/>
  <c r="J8"/>
  <c r="G8"/>
  <c r="H8" s="1"/>
  <c r="J31"/>
  <c r="G31"/>
  <c r="H31" s="1"/>
  <c r="J9"/>
  <c r="G9"/>
  <c r="H9" s="1"/>
  <c r="J13"/>
  <c r="G13"/>
  <c r="H13" s="1"/>
  <c r="J41"/>
  <c r="G41"/>
  <c r="H41" s="1"/>
  <c r="J14"/>
  <c r="G14"/>
  <c r="H14" s="1"/>
  <c r="J44"/>
  <c r="G44"/>
  <c r="H44" s="1"/>
  <c r="J56"/>
  <c r="G56"/>
  <c r="H56" s="1"/>
  <c r="J36"/>
  <c r="G36"/>
  <c r="H36" s="1"/>
  <c r="J46"/>
  <c r="G46"/>
  <c r="H46" s="1"/>
  <c r="J33"/>
  <c r="G33"/>
  <c r="H33" s="1"/>
  <c r="J22"/>
  <c r="G22"/>
  <c r="H22" s="1"/>
  <c r="J54"/>
  <c r="G54"/>
  <c r="H54" s="1"/>
  <c r="J48"/>
  <c r="G48"/>
  <c r="H48" s="1"/>
  <c r="J19"/>
  <c r="G19"/>
  <c r="H19" s="1"/>
  <c r="J35"/>
  <c r="G35"/>
  <c r="H35" s="1"/>
  <c r="J51"/>
  <c r="G51"/>
  <c r="H51" s="1"/>
  <c r="J10"/>
  <c r="G10"/>
  <c r="H10" s="1"/>
  <c r="J38"/>
  <c r="G38"/>
  <c r="H38" s="1"/>
  <c r="J12"/>
  <c r="G12"/>
  <c r="H12" s="1"/>
  <c r="J17"/>
  <c r="G17"/>
  <c r="H17" s="1"/>
  <c r="J47"/>
  <c r="G47"/>
  <c r="H47" s="1"/>
  <c r="J15"/>
  <c r="G15"/>
  <c r="H15" s="1"/>
  <c r="J55"/>
  <c r="G55"/>
  <c r="H55" s="1"/>
  <c r="J16"/>
  <c r="G16"/>
  <c r="H16" s="1"/>
  <c r="J39"/>
  <c r="G39"/>
  <c r="H39" s="1"/>
  <c r="J25"/>
  <c r="G25"/>
  <c r="H25" s="1"/>
  <c r="J57"/>
  <c r="G57"/>
  <c r="H57" s="1"/>
  <c r="J42"/>
  <c r="G42"/>
  <c r="H42" s="1"/>
  <c r="J40"/>
  <c r="G40"/>
  <c r="H40" s="1"/>
  <c r="J50"/>
  <c r="G50"/>
  <c r="H50" s="1"/>
  <c r="J53"/>
  <c r="G53"/>
  <c r="H53" s="1"/>
  <c r="J21"/>
  <c r="G21"/>
  <c r="H21" s="1"/>
  <c r="J49"/>
  <c r="G49"/>
  <c r="H49" s="1"/>
  <c r="J34"/>
  <c r="G34"/>
  <c r="H34" s="1"/>
  <c r="J32"/>
  <c r="G32"/>
  <c r="H32" s="1"/>
  <c r="J11"/>
  <c r="G11"/>
  <c r="H11" s="1"/>
  <c r="J27"/>
  <c r="G27"/>
  <c r="H27" s="1"/>
  <c r="J43"/>
  <c r="G43"/>
  <c r="H43" s="1"/>
  <c r="J18"/>
  <c r="G18"/>
  <c r="H18" s="1"/>
  <c r="J52"/>
  <c r="G52"/>
  <c r="H52" s="1"/>
  <c r="J45"/>
  <c r="G45"/>
  <c r="H45" s="1"/>
  <c r="J24"/>
  <c r="G24"/>
  <c r="H24" s="1"/>
  <c r="J28"/>
  <c r="G28"/>
  <c r="H28" s="1"/>
  <c r="J37"/>
  <c r="G37"/>
  <c r="H37" s="1"/>
  <c r="J29"/>
  <c r="G29"/>
  <c r="H29" s="1"/>
  <c r="J26"/>
  <c r="G26"/>
  <c r="H26" s="1"/>
  <c r="J30"/>
  <c r="G30"/>
  <c r="H30" s="1"/>
  <c r="F20"/>
  <c r="L59" i="36"/>
  <c r="M8"/>
  <c r="D7" i="28" s="1"/>
  <c r="E7" l="1"/>
  <c r="E58" s="1"/>
  <c r="I7"/>
  <c r="J20"/>
  <c r="G20"/>
  <c r="H20" s="1"/>
  <c r="D58"/>
  <c r="F7"/>
  <c r="M59" i="36"/>
  <c r="N8" s="1"/>
  <c r="F58" i="28" l="1"/>
  <c r="J7"/>
  <c r="G7"/>
  <c r="H7" s="1"/>
  <c r="N16" i="36"/>
  <c r="N9"/>
  <c r="N40"/>
  <c r="N48"/>
  <c r="N24"/>
  <c r="N32"/>
  <c r="N10"/>
  <c r="N56"/>
  <c r="N17"/>
  <c r="N31"/>
  <c r="N27"/>
  <c r="N30"/>
  <c r="N11"/>
  <c r="N36"/>
  <c r="N49"/>
  <c r="N23"/>
  <c r="N47"/>
  <c r="N57"/>
  <c r="N15"/>
  <c r="N14"/>
  <c r="N29"/>
  <c r="N46"/>
  <c r="N21"/>
  <c r="N44"/>
  <c r="N12"/>
  <c r="N35"/>
  <c r="N22"/>
  <c r="N51"/>
  <c r="N43"/>
  <c r="N26"/>
  <c r="N18"/>
  <c r="N13"/>
  <c r="N39"/>
  <c r="N52"/>
  <c r="N20"/>
  <c r="N55"/>
  <c r="N34"/>
  <c r="N37"/>
  <c r="N45"/>
  <c r="N42"/>
  <c r="N38"/>
  <c r="N25"/>
  <c r="N53"/>
  <c r="N19"/>
  <c r="N28"/>
  <c r="N33"/>
  <c r="N50"/>
  <c r="N54"/>
  <c r="N41"/>
  <c r="N58"/>
  <c r="J58" i="28" l="1"/>
  <c r="G58"/>
  <c r="N59" i="36"/>
  <c r="H58" i="28"/>
  <c r="I58"/>
  <c r="K4" l="1"/>
  <c r="K28" s="1"/>
  <c r="K25" l="1"/>
  <c r="K29"/>
  <c r="K20"/>
  <c r="L20" s="1"/>
  <c r="M20" s="1"/>
  <c r="K54"/>
  <c r="K39"/>
  <c r="L39" s="1"/>
  <c r="M39" s="1"/>
  <c r="K22"/>
  <c r="K38"/>
  <c r="K30"/>
  <c r="L30" s="1"/>
  <c r="M30" s="1"/>
  <c r="K32"/>
  <c r="L32" s="1"/>
  <c r="M32" s="1"/>
  <c r="K36"/>
  <c r="L36" s="1"/>
  <c r="M36" s="1"/>
  <c r="K37"/>
  <c r="L37" s="1"/>
  <c r="M37" s="1"/>
  <c r="K21"/>
  <c r="L21" s="1"/>
  <c r="M21" s="1"/>
  <c r="K14"/>
  <c r="K15"/>
  <c r="K53"/>
  <c r="L53" s="1"/>
  <c r="M53" s="1"/>
  <c r="K41"/>
  <c r="L41" s="1"/>
  <c r="M41" s="1"/>
  <c r="K51"/>
  <c r="L51" s="1"/>
  <c r="M51" s="1"/>
  <c r="K18"/>
  <c r="K13"/>
  <c r="L13" s="1"/>
  <c r="M13" s="1"/>
  <c r="K47"/>
  <c r="L47" s="1"/>
  <c r="M47" s="1"/>
  <c r="K50"/>
  <c r="K9"/>
  <c r="K35"/>
  <c r="K43"/>
  <c r="L43" s="1"/>
  <c r="M43" s="1"/>
  <c r="K7"/>
  <c r="K8"/>
  <c r="L8" s="1"/>
  <c r="M8" s="1"/>
  <c r="K56"/>
  <c r="K17"/>
  <c r="L17" s="1"/>
  <c r="M17" s="1"/>
  <c r="K16"/>
  <c r="L16" s="1"/>
  <c r="M16" s="1"/>
  <c r="K42"/>
  <c r="L42" s="1"/>
  <c r="M42" s="1"/>
  <c r="K34"/>
  <c r="L34" s="1"/>
  <c r="M34" s="1"/>
  <c r="K31"/>
  <c r="L31" s="1"/>
  <c r="M31" s="1"/>
  <c r="K33"/>
  <c r="K19"/>
  <c r="K40"/>
  <c r="L40" s="1"/>
  <c r="M40" s="1"/>
  <c r="K27"/>
  <c r="L27" s="1"/>
  <c r="M27" s="1"/>
  <c r="K45"/>
  <c r="L45" s="1"/>
  <c r="M45" s="1"/>
  <c r="K26"/>
  <c r="K44"/>
  <c r="L44" s="1"/>
  <c r="M44" s="1"/>
  <c r="K12"/>
  <c r="K55"/>
  <c r="L55" s="1"/>
  <c r="M55" s="1"/>
  <c r="K57"/>
  <c r="L57" s="1"/>
  <c r="M57" s="1"/>
  <c r="K49"/>
  <c r="L49" s="1"/>
  <c r="M49" s="1"/>
  <c r="K23"/>
  <c r="L23" s="1"/>
  <c r="M23" s="1"/>
  <c r="K46"/>
  <c r="K48"/>
  <c r="K10"/>
  <c r="L10" s="1"/>
  <c r="M10" s="1"/>
  <c r="K11"/>
  <c r="K24"/>
  <c r="L24" s="1"/>
  <c r="M24" s="1"/>
  <c r="K52"/>
  <c r="L52" s="1"/>
  <c r="M52" s="1"/>
  <c r="L22"/>
  <c r="M22" s="1"/>
  <c r="L54"/>
  <c r="M54" s="1"/>
  <c r="L38"/>
  <c r="M38" s="1"/>
  <c r="L19"/>
  <c r="M19" s="1"/>
  <c r="L35"/>
  <c r="M35" s="1"/>
  <c r="L14"/>
  <c r="M14" s="1"/>
  <c r="L46"/>
  <c r="M46" s="1"/>
  <c r="L11"/>
  <c r="M11" s="1"/>
  <c r="L18"/>
  <c r="M18" s="1"/>
  <c r="L26"/>
  <c r="M26" s="1"/>
  <c r="L50"/>
  <c r="M50" s="1"/>
  <c r="L7"/>
  <c r="M7" s="1"/>
  <c r="L15"/>
  <c r="M15" s="1"/>
  <c r="L12"/>
  <c r="M12" s="1"/>
  <c r="L28"/>
  <c r="M28" s="1"/>
  <c r="L48"/>
  <c r="M48" s="1"/>
  <c r="L56"/>
  <c r="M56" s="1"/>
  <c r="L9"/>
  <c r="M9" s="1"/>
  <c r="L25"/>
  <c r="M25" s="1"/>
  <c r="L29"/>
  <c r="M29" s="1"/>
  <c r="L33"/>
  <c r="M33" s="1"/>
  <c r="L58" l="1"/>
  <c r="N20" s="1"/>
  <c r="K58"/>
  <c r="N11" l="1"/>
  <c r="N15"/>
  <c r="N12"/>
  <c r="N29"/>
  <c r="N21"/>
  <c r="N19"/>
  <c r="N10"/>
  <c r="N49"/>
  <c r="N44"/>
  <c r="N16"/>
  <c r="N51"/>
  <c r="N17"/>
  <c r="N33"/>
  <c r="N32"/>
  <c r="N42"/>
  <c r="N39"/>
  <c r="N31"/>
  <c r="N46"/>
  <c r="N23"/>
  <c r="N50"/>
  <c r="N54"/>
  <c r="N27"/>
  <c r="N25"/>
  <c r="N37"/>
  <c r="N38"/>
  <c r="N14"/>
  <c r="N43"/>
  <c r="N48"/>
  <c r="N36"/>
  <c r="N52"/>
  <c r="N55"/>
  <c r="N35"/>
  <c r="N18"/>
  <c r="N41"/>
  <c r="N7"/>
  <c r="M58"/>
  <c r="N40"/>
  <c r="N45"/>
  <c r="N28"/>
  <c r="N24"/>
  <c r="N53"/>
  <c r="N56"/>
  <c r="N22"/>
  <c r="N34"/>
  <c r="N47"/>
  <c r="N9"/>
  <c r="N26"/>
  <c r="N8"/>
  <c r="N57"/>
  <c r="N30"/>
  <c r="N13"/>
  <c r="N58" l="1"/>
</calcChain>
</file>

<file path=xl/comments1.xml><?xml version="1.0" encoding="utf-8"?>
<comments xmlns="http://schemas.openxmlformats.org/spreadsheetml/2006/main">
  <authors>
    <author>cesar.rivera</author>
  </authors>
  <commentList>
    <comment ref="H58" authorId="0">
      <text>
        <r>
          <rPr>
            <b/>
            <sz val="9"/>
            <color indexed="81"/>
            <rFont val="Tahoma"/>
            <family val="2"/>
          </rPr>
          <t>cesar.rivera:</t>
        </r>
        <r>
          <rPr>
            <sz val="9"/>
            <color indexed="81"/>
            <rFont val="Tahoma"/>
            <family val="2"/>
          </rPr>
          <t xml:space="preserve">
art 7° fracc IV
</t>
        </r>
      </text>
    </comment>
  </commentList>
</comments>
</file>

<file path=xl/sharedStrings.xml><?xml version="1.0" encoding="utf-8"?>
<sst xmlns="http://schemas.openxmlformats.org/spreadsheetml/2006/main" count="553" uniqueCount="252">
  <si>
    <t>MUNICIPIO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</si>
  <si>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</si>
  <si>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</si>
  <si>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</si>
  <si>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</si>
  <si>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</si>
  <si>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</si>
  <si>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</si>
  <si>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</si>
  <si>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</si>
  <si>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</si>
  <si>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</si>
  <si>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</si>
  <si>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</si>
  <si>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</si>
  <si>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</si>
  <si>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</si>
  <si>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</si>
  <si>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</si>
  <si>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</si>
  <si>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</si>
  <si>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</si>
  <si>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</si>
  <si>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</si>
  <si>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</si>
  <si>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</si>
  <si>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</si>
  <si>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</si>
  <si>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</si>
  <si>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</si>
  <si>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</si>
  <si>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</si>
  <si>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</si>
  <si>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</si>
  <si>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</si>
  <si>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</si>
  <si>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</si>
  <si>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</si>
  <si>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</si>
  <si>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</si>
  <si>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</si>
  <si>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</si>
  <si>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</si>
  <si>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</si>
  <si>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</si>
  <si>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</si>
  <si>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</si>
  <si>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</si>
  <si>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</si>
  <si>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</si>
  <si>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</si>
  <si>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</si>
  <si>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 xml:space="preserve">        TOTAL</t>
  </si>
  <si>
    <t>TOTAL</t>
  </si>
  <si>
    <t>RP</t>
  </si>
  <si>
    <t>P=RP/BG</t>
  </si>
  <si>
    <t>ER=P*RP</t>
  </si>
  <si>
    <t>PC</t>
  </si>
  <si>
    <t>PO</t>
  </si>
  <si>
    <t>TERRITORIO (KM2)</t>
  </si>
  <si>
    <t>CS2</t>
  </si>
  <si>
    <t>CS1</t>
  </si>
  <si>
    <t>MS</t>
  </si>
  <si>
    <t>COEF  CARENCIA SOCIAL
2010</t>
  </si>
  <si>
    <t>COEF CARENCIA SOCIAL
2000</t>
  </si>
  <si>
    <t>APOYO</t>
  </si>
  <si>
    <t>[(CS2-CS1)/CS1]</t>
  </si>
  <si>
    <t>COEF APOYO
MEJORA SOCIAL</t>
  </si>
  <si>
    <t>CIMP=0.85(CS2/∑CS2)+0.15(MS/∑MS)</t>
  </si>
  <si>
    <t>BG</t>
  </si>
  <si>
    <t>TE</t>
  </si>
  <si>
    <t>Proporción de recaudación</t>
  </si>
  <si>
    <t>Recaudacion Ponderado Eficiencia</t>
  </si>
  <si>
    <t>RT</t>
  </si>
  <si>
    <t>a</t>
  </si>
  <si>
    <t>b</t>
  </si>
  <si>
    <t>c</t>
  </si>
  <si>
    <t>d</t>
  </si>
  <si>
    <t>e</t>
  </si>
  <si>
    <t>f</t>
  </si>
  <si>
    <t>g</t>
  </si>
  <si>
    <t>POBLACIÓN Y TERRITORIO</t>
  </si>
  <si>
    <t>CARENCIA SOCIAL</t>
  </si>
  <si>
    <t>EFECTIVIDAD REC PREDIAL</t>
  </si>
  <si>
    <t>POBLACIÓN</t>
  </si>
  <si>
    <t>PROYECCIÓN POBLACIÓN</t>
  </si>
  <si>
    <t>COEF FRACC I</t>
  </si>
  <si>
    <t>REC TENENCIA</t>
  </si>
  <si>
    <t>Art 7 - I</t>
  </si>
  <si>
    <t>Art 7 - V</t>
  </si>
  <si>
    <t>Art 7 - VI</t>
  </si>
  <si>
    <t>Art 7 - VII</t>
  </si>
  <si>
    <t>Art 7 - III y IV</t>
  </si>
  <si>
    <t>Art 8</t>
  </si>
  <si>
    <t>CEPT=0.85(PO/∑PO)+0.15(TE/∑TE)</t>
  </si>
  <si>
    <t>CEPT*42.5%</t>
  </si>
  <si>
    <t>PC*35%</t>
  </si>
  <si>
    <t>CEP= MAE1/∑MAE1</t>
  </si>
  <si>
    <t>CEG=MAE2/∑MAE2</t>
  </si>
  <si>
    <t>MONTO ESTIMADO DE GASOLINAS</t>
  </si>
  <si>
    <t>MONTO ESTIMADO DE PARTICIPACIONES</t>
  </si>
  <si>
    <t>CEPT*50%</t>
  </si>
  <si>
    <t>CIMP*25%</t>
  </si>
  <si>
    <t>CER*25%</t>
  </si>
  <si>
    <t>MONTO ESTIMADO DE PARTICIPACIÓN</t>
  </si>
  <si>
    <r>
      <t xml:space="preserve">FONDO GENERAL DE PARTICIPACIONES (FGP) </t>
    </r>
    <r>
      <rPr>
        <vertAlign val="superscript"/>
        <sz val="10"/>
        <color rgb="FFFF0000"/>
        <rFont val="Arial"/>
        <family val="2"/>
      </rPr>
      <t>a</t>
    </r>
  </si>
  <si>
    <r>
      <t xml:space="preserve">FONDO DE FOMENTO MUNICIPAL (FFM) </t>
    </r>
    <r>
      <rPr>
        <vertAlign val="superscript"/>
        <sz val="10"/>
        <color rgb="FFFF0000"/>
        <rFont val="Arial"/>
        <family val="2"/>
      </rPr>
      <t>b</t>
    </r>
  </si>
  <si>
    <r>
      <t xml:space="preserve">IMPUESTO SOBRE TENENCIA </t>
    </r>
    <r>
      <rPr>
        <vertAlign val="superscript"/>
        <sz val="10"/>
        <color rgb="FFFF0000"/>
        <rFont val="Arial"/>
        <family val="2"/>
      </rPr>
      <t>g</t>
    </r>
  </si>
  <si>
    <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</si>
  <si>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PC/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PC</t>
    </r>
  </si>
  <si>
    <r>
      <t>CER= ER/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ER</t>
    </r>
  </si>
  <si>
    <r>
      <t>0.85(PO/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)</t>
    </r>
  </si>
  <si>
    <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</si>
  <si>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0.15(TE/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)</t>
    </r>
  </si>
  <si>
    <r>
      <t>0.85(CS2/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CS2</t>
    </r>
    <r>
      <rPr>
        <i/>
        <sz val="8"/>
        <color rgb="FFFF0000"/>
        <rFont val="Arial"/>
        <family val="2"/>
      </rPr>
      <t>)</t>
    </r>
  </si>
  <si>
    <r>
      <t>MS/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 xml:space="preserve">MS </t>
    </r>
  </si>
  <si>
    <r>
      <t>RT/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RT</t>
    </r>
  </si>
  <si>
    <r>
      <t>0.15(MS2/</t>
    </r>
    <r>
      <rPr>
        <sz val="8"/>
        <color rgb="FFFF0000"/>
        <rFont val="Calibri"/>
        <family val="2"/>
      </rPr>
      <t>∑M</t>
    </r>
    <r>
      <rPr>
        <sz val="8"/>
        <color rgb="FFFF0000"/>
        <rFont val="Arial"/>
        <family val="2"/>
      </rPr>
      <t>S2</t>
    </r>
    <r>
      <rPr>
        <i/>
        <sz val="8"/>
        <color rgb="FFFF0000"/>
        <rFont val="Arial"/>
        <family val="2"/>
      </rPr>
      <t>)</t>
    </r>
  </si>
  <si>
    <t>FUENTE:</t>
  </si>
  <si>
    <t>POB ING &lt; A 2 SALARIOS MIN
2000</t>
  </si>
  <si>
    <t>POB 15 AÑOS O + NO SABE LEER NI ESCRIBIR 2000</t>
  </si>
  <si>
    <t>COEF POB ING &lt; A 2 SALARIOS MIN</t>
  </si>
  <si>
    <t>R1</t>
  </si>
  <si>
    <t>R2</t>
  </si>
  <si>
    <t>R3</t>
  </si>
  <si>
    <t>R4</t>
  </si>
  <si>
    <t>BR1=R1/∑R1</t>
  </si>
  <si>
    <t>BR2=R2/∑R2</t>
  </si>
  <si>
    <t>BR3=R3/∑R3</t>
  </si>
  <si>
    <t>BR4=R4/∑R4</t>
  </si>
  <si>
    <t>POB ING &lt; A 2 SALARIOS MIN
2010</t>
  </si>
  <si>
    <t>POB 15 MAS AÑOS NO SABE LEER NI ESCRIBIR
2010</t>
  </si>
  <si>
    <t xml:space="preserve">FUENTE: </t>
  </si>
  <si>
    <t>FUENTE: Censo de población y vivienda 2010, INEGI</t>
  </si>
  <si>
    <t xml:space="preserve">  Censo de población y vivienda, INEGI</t>
  </si>
  <si>
    <t>POBLACIÓN 2010</t>
  </si>
  <si>
    <t>ESTRUCTURA      %</t>
  </si>
  <si>
    <t>ESTRUCTURA     %</t>
  </si>
  <si>
    <t>COEFICIENTE  POBLACIÓN Y TERRITORIO</t>
  </si>
  <si>
    <t>POBL SIN ACCESO A DRENAJE 2000</t>
  </si>
  <si>
    <t>POB SIN ACCESO A  ELECTRICIDAD 2000</t>
  </si>
  <si>
    <t>COEFICIENTE  ÍNDICE MUNICIPAL DE POBREZA</t>
  </si>
  <si>
    <t>COEF POB 15 O + AÑOS NO SABE LEER NI ESCRIBIR</t>
  </si>
  <si>
    <t>COEF POB SIN ACCESO A  ELECTRICIDAD</t>
  </si>
  <si>
    <r>
      <t xml:space="preserve">COEF POB SIN ACCESO A  </t>
    </r>
    <r>
      <rPr>
        <b/>
        <sz val="9"/>
        <rFont val="Arial"/>
        <family val="2"/>
      </rPr>
      <t>ELECTRICIDAD</t>
    </r>
  </si>
  <si>
    <t xml:space="preserve">COEF POBL SIN ACCESO A  DRENAJE </t>
  </si>
  <si>
    <t>MEJORA SOCIAL 2010 vs 2000</t>
  </si>
  <si>
    <t>COEF POB 15  O +  AÑOS NO SABE LEER NI ESCRIBIR</t>
  </si>
  <si>
    <t xml:space="preserve">COEF POBL SIN ACCESO DRENAJE </t>
  </si>
  <si>
    <t>POB SIN ACCESO A ELECTRICIDAD
2010</t>
  </si>
  <si>
    <t>POBL SIN ACCESO A DRENAJE
2010</t>
  </si>
  <si>
    <t>COEFICIENTE EFECTIVIDAD REC PREDIAL</t>
  </si>
  <si>
    <t>COEFICIENTE DE PARTICIPACIÓN</t>
  </si>
  <si>
    <t>COEFICIENTE POBLACIÓN</t>
  </si>
  <si>
    <t>COEFICIENTE PROYECCIÓN POBLACIÓN</t>
  </si>
  <si>
    <t>PO*35%</t>
  </si>
  <si>
    <t>CEP*30%</t>
  </si>
  <si>
    <t>DISTRIBUCIÓN POR POBLACIÓN</t>
  </si>
  <si>
    <t>DISTRIBUCIÓN POR PROYECCIÓN DE POBLACIÓN</t>
  </si>
  <si>
    <t>DISTRIBUCIÓN POR COEFICIENTE REGLA I</t>
  </si>
  <si>
    <t>COEFICIENTE ESTIMADO DE PARTICIPACIÓN</t>
  </si>
  <si>
    <t>COEFICIENTE RECAUDACIÓN DE TENENCIA</t>
  </si>
  <si>
    <t>ESTRUCTURA
 %</t>
  </si>
  <si>
    <t>COEFICIENTE POBLACIÓN Y TERRITORIO</t>
  </si>
  <si>
    <t>ÍNDICE MUNICIPAL DE POBREZA</t>
  </si>
  <si>
    <t>DISTRIBUCIÓN POR RECAUDACIÓN DE TENENCIA</t>
  </si>
  <si>
    <t>DISTRIBUCIÓN POR POBLACIÓN Y TERRITORIO</t>
  </si>
  <si>
    <t xml:space="preserve">DISTRIBUCIÓN POR ÍNDICE DE POBREZA </t>
  </si>
  <si>
    <t>DISTRIBUCIÓN POR ÍNDICE DE POBREZA</t>
  </si>
  <si>
    <t>DISTRIBUCIÓN POR EFECTIVIDAD RECAUDACIÓN  PREDIAL</t>
  </si>
  <si>
    <t xml:space="preserve">POBLACIÓN </t>
  </si>
  <si>
    <t>REGLA I</t>
  </si>
  <si>
    <t>Art 7 - II y III</t>
  </si>
  <si>
    <t>PROYECCIÓN DE POBLACIÓN</t>
  </si>
  <si>
    <t>$</t>
  </si>
  <si>
    <t>%</t>
  </si>
  <si>
    <t>MAE2=(PI*35%)+(PC*35%)+(CD*30%)</t>
  </si>
  <si>
    <t>MAE1=(CEPT*50%)+(CIMP*25%)+(CER*25%)</t>
  </si>
  <si>
    <t>FGP</t>
  </si>
  <si>
    <t>FFM</t>
  </si>
  <si>
    <t>IEPS</t>
  </si>
  <si>
    <t>FOFIE</t>
  </si>
  <si>
    <t>ISAN</t>
  </si>
  <si>
    <t>TENENCIA</t>
  </si>
  <si>
    <t>GASOLINAS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</si>
  <si>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</si>
  <si>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</si>
  <si>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</si>
  <si>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</si>
  <si>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</si>
  <si>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</si>
  <si>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</si>
  <si>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</si>
  <si>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</si>
  <si>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</si>
  <si>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</si>
  <si>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</si>
  <si>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 SEM
JUL-DIC</t>
  </si>
  <si>
    <t>1 SEM
ENE-JUN</t>
  </si>
  <si>
    <t>OBSERVADO + ESTIMACIÓN</t>
  </si>
  <si>
    <t>FONDO</t>
  </si>
  <si>
    <t>RECIBIDAS + ESTIMADAS</t>
  </si>
  <si>
    <t>Los montos incluyen ajustes y recursos del FEIEF en su caso</t>
  </si>
  <si>
    <t>ENE-JUN</t>
  </si>
  <si>
    <t>ENE-DIC</t>
  </si>
  <si>
    <t>CER*30%</t>
  </si>
  <si>
    <t>CIMP*27.5%</t>
  </si>
  <si>
    <t>MAE1=(CEPT*42.5%)+(CIMP*27.5%)+(CER*30%)</t>
  </si>
  <si>
    <t xml:space="preserve">  Proyecciones de la Población 2010-2030, CONSEJO NACIONAL DE POBLACIÓN</t>
  </si>
  <si>
    <t>PARTICIPACIONES FEDERALES Y ESTATAL</t>
  </si>
  <si>
    <t>FOFIR</t>
  </si>
  <si>
    <t>PARTICIPACIONES RECIBIDAS Y ESTIMADAS DEL PEF PARA 2015</t>
  </si>
  <si>
    <t>RECIBIDAS 2015</t>
  </si>
  <si>
    <t>ESTIMADAS EN PEF 2015</t>
  </si>
  <si>
    <t>DETERMINACIÓN PRELIMINAR DE LOS COEFICIENTES DE PARTICIPACIÓN DE RECURSOS A MUNICIPIOS POR VARIABLE (REGLA II ARTÍCULO 4 LEENL 2015)</t>
  </si>
  <si>
    <t>PROYECCIÓN DE POBLACIÓN 2014</t>
  </si>
  <si>
    <t>POBLACIÓN  2010</t>
  </si>
  <si>
    <t>PARTICIPACIONES PAGADAS 2014</t>
  </si>
  <si>
    <t>PARTICIPACIONES ESTIMADAS 2015</t>
  </si>
  <si>
    <t>MONTO A DISMINUIR EN MUNICIPIOS CON CRECIMIENTO SUPERIOR A 2014 MÁS INFLACIÓN</t>
  </si>
  <si>
    <t>DETERMINACIÓN  DEL  COEFICIENTE DEFINITIVO DE PARTICIPACIÓN DE RECURSOS A MUNICIPIOS PARA 2015
 (ARTÍCULO 7 LEENL 2015)</t>
  </si>
  <si>
    <t>COEFICIENTE DEFINITIVO 2015</t>
  </si>
  <si>
    <t>OBSERVADO ENE JUN
ESTIMADO JUL DIC</t>
  </si>
  <si>
    <t>El monto del IEPS corresponde al monto observado en el período Ene-Jun y la estimación Jul-Dic para el ejercicio 2015 de acuerdo al Presupuesto de Egresos de la Federación y según el calendario y distribución a las entidades publicada mediante Acuerdo del 23 de diciembre de 2014.</t>
  </si>
  <si>
    <t>El monto del FGP corresponde al monto observado en el período Ene-Jun y la estimación Jul-Dic para el ejercicio 2015 de acuerdo al Presupuesto de Egresos de la Federación y según el calendario y distribución a las entidades publicada mediante Acuerdo del 23 de diciembre de 2014.</t>
  </si>
  <si>
    <t>El monto del FFM corresponde al monto observado en el período Ene-Jun y la estimación Jul-Dic para el ejercicio 2015 de acuerdo al Presupuesto de Egresos de la Federación y según el calendario y distribución a las entidades publicada mediante Acuerdo del 23 de diciembre de 2014.</t>
  </si>
  <si>
    <t>El monto del Impto. a la Venta Final de Gasolinas y Diesel corresponde a la estimación para el ejercicio 2015 de acuerdo al Presupuesto de Egresos de la Federación y según el calendario y distribución a las entidades publicada mediante Acuerdo del 23 de diciembre de 2014.</t>
  </si>
  <si>
    <t>El monto del ISAN incluye la compensación de ISAN y corresponde al monto Ene-Jun y la estimación Jul-Dic para el ejercicio 2015 de acuerdo al Presupuesto de Egresos de la Federación según el calendario y distribución a las entidades publicada mediante Acuerdo del 23 de diciembre de 2014.</t>
  </si>
  <si>
    <t>El monto del Impuesto sobre Tenencia corresponde al monto observado Ene-Jun y la estimación de la recaudación Jul-Dic de acuerdo a la Ley de Egresos del Estado de Nuevo León publicada el 29 de diciembre de 2014</t>
  </si>
  <si>
    <t>Facturación 2014
(2010-2014)</t>
  </si>
  <si>
    <t>RECAUDACIÓN TENENCIA 2014</t>
  </si>
  <si>
    <t xml:space="preserve">  Recaudación de tenencia 2014, DIRECCION DE CONTABILIDAD</t>
  </si>
  <si>
    <t>* 3.80%DE CRECIMIENTO DE ESTIMACIÓN RESPECTO DEL 2014</t>
  </si>
  <si>
    <t>Recaudación 2014</t>
  </si>
  <si>
    <t>EFECTIVIDAD RECAUDACIÓN DE PREDIAL</t>
  </si>
  <si>
    <t>IMPUESTO SOBRE TENENCIA O USO DE VEÍCULOS</t>
  </si>
  <si>
    <t>PARTICIPACIONES PAGADAS 2014 MÁS CRECIMIENTO</t>
  </si>
  <si>
    <t xml:space="preserve"> DIFERENCIA ENTRE PARTICIPACIONES ESTIMADAS 2015 MENOS PARTICIPACIONES 2014 MÁS CRECIMIENTO</t>
  </si>
  <si>
    <t>MONTOS 2014 MÁS CRECIMIENTO DE MUNICIPIOS CON PARTICIPACIÓN  INFERIOR EN 2015</t>
  </si>
  <si>
    <t>MONTO NECESARIO PARA ALCANZAR 2014 MÁS CRECIMIENTO
"COMPENSACIÓN"</t>
  </si>
  <si>
    <t>MONTOS 2015 DE MUNICIPIOS CON PARTICIPACIÓN SUPERIOR A 2014 MÁS CRECIMIENTO</t>
  </si>
  <si>
    <t>MONTO 2015 POR ENCIMA DE 2014 MÁS CRECIMIENTO</t>
  </si>
  <si>
    <t>MONTO A DISTRIBUIR EN 2015 PARA GARANTIZAR AL MENOS EL PAGO DE 2014 MÁS CRECIMIENTO</t>
  </si>
  <si>
    <t>DETERMINACIÓN INCREMENTO 2015 vs PAGO 2014 MÁS CRECIMIENTO</t>
  </si>
  <si>
    <r>
      <t xml:space="preserve">IMPUESTO ESPECIAL SOBRE PRODUCCIÓN Y SERVICIOS (IEPS) </t>
    </r>
    <r>
      <rPr>
        <vertAlign val="superscript"/>
        <sz val="10"/>
        <color rgb="FFFF0000"/>
        <rFont val="Arial"/>
        <family val="2"/>
      </rPr>
      <t>c</t>
    </r>
  </si>
  <si>
    <r>
      <t xml:space="preserve">FONDO DE FISCALIZACIÓN Y RECAUDACIÓN (FOFYR) </t>
    </r>
    <r>
      <rPr>
        <vertAlign val="superscript"/>
        <sz val="10"/>
        <color rgb="FFFF0000"/>
        <rFont val="Arial"/>
        <family val="2"/>
      </rPr>
      <t>d</t>
    </r>
  </si>
  <si>
    <r>
      <t xml:space="preserve">IMPUESTO SOBRE ADQUISICIÓN DE VEHÍCULOS NUEVOS (ISAN) </t>
    </r>
    <r>
      <rPr>
        <vertAlign val="superscript"/>
        <sz val="10"/>
        <color rgb="FFFF0000"/>
        <rFont val="Arial"/>
        <family val="2"/>
      </rPr>
      <t>e</t>
    </r>
  </si>
  <si>
    <r>
      <t xml:space="preserve">IMPUESTO SOBRE LA VENTA FINAL DE GASOLINAS Y DIESEL </t>
    </r>
    <r>
      <rPr>
        <vertAlign val="superscript"/>
        <sz val="10"/>
        <color rgb="FFFF0000"/>
        <rFont val="Arial"/>
        <family val="2"/>
      </rPr>
      <t>f</t>
    </r>
  </si>
  <si>
    <t>Anexo VI pag. 1 de 11</t>
  </si>
  <si>
    <t>ESTIMACIÓN DE PARTICIPACIONES Y DISTRIBUCIÓN A MUNICIPIOS SEGÚN LA LEY DE EGRESOS DEL ESTADO DE NUEVO LEÓN 2015</t>
  </si>
  <si>
    <t>El monto del FOFYR corresponde al monto observado en el período Ene-Jun y la estimación Jul-Dic para el ejercicio 2015 de acuerdo al Presupuesto de Egresos de la Federación y según el calendario y distribución a las entidades publicada mediante Acuerdo del 23 de diciembre de 2014.</t>
  </si>
  <si>
    <t>*4.08% INFLACIÓN ANUAL 2014. (INEGI)</t>
  </si>
</sst>
</file>

<file path=xl/styles.xml><?xml version="1.0" encoding="utf-8"?>
<styleSheet xmlns="http://schemas.openxmlformats.org/spreadsheetml/2006/main">
  <numFmts count="2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%"/>
    <numFmt numFmtId="167" formatCode="0.000000%"/>
    <numFmt numFmtId="168" formatCode="0.000000000000%"/>
    <numFmt numFmtId="169" formatCode="#,##0\ &quot;$&quot;;[Red]\-#,##0\ &quot;$&quot;"/>
    <numFmt numFmtId="170" formatCode="&quot;$&quot;\ #,##0.00"/>
    <numFmt numFmtId="171" formatCode="\U\ #,##0.00"/>
    <numFmt numFmtId="172" formatCode="#,##0.000;\-#,##0.000"/>
    <numFmt numFmtId="173" formatCode="#,##0.0000000;\-#,##0.0000000"/>
    <numFmt numFmtId="174" formatCode="_(* #,##0.000000_);_(* \(#,##0.000000\);_(* &quot;-&quot;??_);_(@_)"/>
    <numFmt numFmtId="175" formatCode="0.00000000%"/>
    <numFmt numFmtId="176" formatCode="0.0%"/>
    <numFmt numFmtId="177" formatCode="_(* #,##0.00000000_);_(* \(#,##0.00000000\);_(* &quot;-&quot;??_);_(@_)"/>
    <numFmt numFmtId="178" formatCode="0.000000"/>
    <numFmt numFmtId="179" formatCode="0.00000000"/>
    <numFmt numFmtId="180" formatCode="#,##0.00000000;\-#,##0.00000000"/>
    <numFmt numFmtId="181" formatCode="0.0000000000"/>
    <numFmt numFmtId="182" formatCode="0.000000000"/>
    <numFmt numFmtId="183" formatCode="0.0000"/>
    <numFmt numFmtId="184" formatCode="#,##0.0000;\-#,##0.0000"/>
    <numFmt numFmtId="186" formatCode="#,##0.00000;\-#,##0.00000"/>
    <numFmt numFmtId="187" formatCode="#,##0.00000000000;\-#,##0.00000000000"/>
    <numFmt numFmtId="188" formatCode="0.0000%"/>
  </numFmts>
  <fonts count="57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1"/>
      <name val="MS Sans Serif"/>
      <family val="2"/>
    </font>
    <font>
      <sz val="12"/>
      <name val="MS Sans Serif"/>
      <family val="2"/>
    </font>
    <font>
      <sz val="12"/>
      <name val="Arial"/>
      <family val="2"/>
    </font>
    <font>
      <sz val="11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MS Sans Serif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sz val="8"/>
      <color rgb="FFFF0000"/>
      <name val="Calibri"/>
      <family val="2"/>
    </font>
    <font>
      <sz val="8"/>
      <name val="Arial"/>
      <family val="2"/>
    </font>
    <font>
      <b/>
      <sz val="8"/>
      <color indexed="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9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69" fontId="1" fillId="0" borderId="0" applyFont="0" applyFill="0" applyBorder="0" applyAlignment="0" applyProtection="0"/>
    <xf numFmtId="0" fontId="19" fillId="3" borderId="0" applyNumberFormat="0" applyBorder="0" applyAlignment="0" applyProtection="0"/>
    <xf numFmtId="164" fontId="1" fillId="0" borderId="0" applyFont="0" applyFill="0" applyBorder="0" applyAlignment="0" applyProtection="0"/>
    <xf numFmtId="0" fontId="20" fillId="22" borderId="0" applyNumberFormat="0" applyBorder="0" applyAlignment="0" applyProtection="0"/>
    <xf numFmtId="0" fontId="30" fillId="0" borderId="0"/>
    <xf numFmtId="0" fontId="3" fillId="0" borderId="0"/>
    <xf numFmtId="37" fontId="2" fillId="0" borderId="0"/>
    <xf numFmtId="0" fontId="11" fillId="23" borderId="4" applyNumberFormat="0" applyFont="0" applyAlignment="0" applyProtection="0"/>
    <xf numFmtId="170" fontId="3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171" fontId="4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9">
    <xf numFmtId="0" fontId="0" fillId="0" borderId="0" xfId="0"/>
    <xf numFmtId="37" fontId="2" fillId="0" borderId="0" xfId="37" applyFont="1" applyProtection="1">
      <protection hidden="1"/>
    </xf>
    <xf numFmtId="37" fontId="9" fillId="0" borderId="0" xfId="37" applyFont="1" applyBorder="1" applyAlignment="1" applyProtection="1">
      <alignment horizontal="center" vertical="center" wrapText="1"/>
      <protection hidden="1"/>
    </xf>
    <xf numFmtId="37" fontId="8" fillId="0" borderId="0" xfId="37" applyFont="1" applyBorder="1" applyAlignment="1" applyProtection="1">
      <alignment horizontal="center" vertical="center" wrapText="1"/>
      <protection hidden="1"/>
    </xf>
    <xf numFmtId="37" fontId="31" fillId="0" borderId="0" xfId="37" applyFont="1" applyBorder="1" applyAlignment="1" applyProtection="1">
      <alignment horizontal="center" vertical="center" wrapText="1"/>
      <protection hidden="1"/>
    </xf>
    <xf numFmtId="37" fontId="1" fillId="0" borderId="11" xfId="37" applyFont="1" applyFill="1" applyBorder="1" applyAlignment="1" applyProtection="1">
      <alignment horizontal="left"/>
      <protection hidden="1"/>
    </xf>
    <xf numFmtId="37" fontId="1" fillId="0" borderId="20" xfId="37" applyFont="1" applyFill="1" applyBorder="1" applyAlignment="1" applyProtection="1">
      <alignment horizontal="right"/>
      <protection hidden="1"/>
    </xf>
    <xf numFmtId="37" fontId="1" fillId="0" borderId="12" xfId="37" applyFont="1" applyFill="1" applyBorder="1" applyAlignment="1" applyProtection="1">
      <alignment horizontal="left"/>
      <protection hidden="1"/>
    </xf>
    <xf numFmtId="37" fontId="1" fillId="0" borderId="23" xfId="37" applyFont="1" applyFill="1" applyBorder="1" applyAlignment="1" applyProtection="1">
      <alignment horizontal="right"/>
      <protection hidden="1"/>
    </xf>
    <xf numFmtId="37" fontId="2" fillId="0" borderId="0" xfId="37" applyFont="1" applyFill="1" applyProtection="1">
      <protection hidden="1"/>
    </xf>
    <xf numFmtId="37" fontId="2" fillId="0" borderId="0" xfId="37" applyFont="1" applyBorder="1" applyProtection="1">
      <protection hidden="1"/>
    </xf>
    <xf numFmtId="37" fontId="6" fillId="0" borderId="13" xfId="37" applyFont="1" applyFill="1" applyBorder="1" applyAlignment="1" applyProtection="1">
      <alignment horizontal="left"/>
      <protection hidden="1"/>
    </xf>
    <xf numFmtId="37" fontId="6" fillId="0" borderId="14" xfId="37" applyFont="1" applyFill="1" applyBorder="1" applyAlignment="1" applyProtection="1">
      <alignment horizontal="right"/>
      <protection hidden="1"/>
    </xf>
    <xf numFmtId="37" fontId="5" fillId="0" borderId="0" xfId="37" applyFont="1" applyProtection="1">
      <protection hidden="1"/>
    </xf>
    <xf numFmtId="2" fontId="5" fillId="0" borderId="0" xfId="33" applyNumberFormat="1" applyFont="1" applyFill="1" applyBorder="1" applyProtection="1">
      <protection hidden="1"/>
    </xf>
    <xf numFmtId="164" fontId="2" fillId="0" borderId="0" xfId="33" applyFont="1" applyBorder="1" applyProtection="1">
      <protection hidden="1"/>
    </xf>
    <xf numFmtId="167" fontId="10" fillId="0" borderId="0" xfId="40" applyNumberFormat="1" applyFont="1" applyBorder="1" applyProtection="1">
      <protection hidden="1"/>
    </xf>
    <xf numFmtId="172" fontId="2" fillId="0" borderId="0" xfId="37" applyNumberFormat="1" applyFont="1" applyProtection="1">
      <protection hidden="1"/>
    </xf>
    <xf numFmtId="167" fontId="10" fillId="0" borderId="0" xfId="40" applyNumberFormat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6" fillId="24" borderId="3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24" borderId="31" xfId="0" applyFill="1" applyBorder="1" applyProtection="1">
      <protection hidden="1"/>
    </xf>
    <xf numFmtId="0" fontId="0" fillId="24" borderId="0" xfId="0" applyFill="1" applyBorder="1" applyProtection="1">
      <protection hidden="1"/>
    </xf>
    <xf numFmtId="0" fontId="0" fillId="24" borderId="32" xfId="0" applyFill="1" applyBorder="1" applyProtection="1">
      <protection hidden="1"/>
    </xf>
    <xf numFmtId="0" fontId="1" fillId="0" borderId="31" xfId="0" applyFont="1" applyFill="1" applyBorder="1" applyProtection="1">
      <protection hidden="1"/>
    </xf>
    <xf numFmtId="165" fontId="6" fillId="0" borderId="32" xfId="33" applyNumberFormat="1" applyFont="1" applyFill="1" applyBorder="1" applyProtection="1">
      <protection hidden="1"/>
    </xf>
    <xf numFmtId="165" fontId="0" fillId="0" borderId="31" xfId="33" applyNumberFormat="1" applyFont="1" applyFill="1" applyBorder="1" applyProtection="1">
      <protection hidden="1"/>
    </xf>
    <xf numFmtId="165" fontId="0" fillId="0" borderId="0" xfId="33" applyNumberFormat="1" applyFont="1" applyFill="1" applyBorder="1" applyProtection="1">
      <protection hidden="1"/>
    </xf>
    <xf numFmtId="165" fontId="0" fillId="0" borderId="32" xfId="33" applyNumberFormat="1" applyFont="1" applyFill="1" applyBorder="1" applyProtection="1">
      <protection hidden="1"/>
    </xf>
    <xf numFmtId="165" fontId="0" fillId="24" borderId="31" xfId="33" applyNumberFormat="1" applyFont="1" applyFill="1" applyBorder="1" applyProtection="1">
      <protection hidden="1"/>
    </xf>
    <xf numFmtId="165" fontId="0" fillId="24" borderId="0" xfId="33" applyNumberFormat="1" applyFont="1" applyFill="1" applyBorder="1" applyProtection="1">
      <protection hidden="1"/>
    </xf>
    <xf numFmtId="165" fontId="0" fillId="24" borderId="32" xfId="33" applyNumberFormat="1" applyFont="1" applyFill="1" applyBorder="1" applyProtection="1">
      <protection hidden="1"/>
    </xf>
    <xf numFmtId="165" fontId="6" fillId="24" borderId="32" xfId="33" applyNumberFormat="1" applyFont="1" applyFill="1" applyBorder="1" applyProtection="1">
      <protection hidden="1"/>
    </xf>
    <xf numFmtId="0" fontId="1" fillId="0" borderId="33" xfId="0" applyFont="1" applyFill="1" applyBorder="1" applyProtection="1">
      <protection hidden="1"/>
    </xf>
    <xf numFmtId="165" fontId="6" fillId="0" borderId="35" xfId="33" applyNumberFormat="1" applyFont="1" applyFill="1" applyBorder="1" applyProtection="1">
      <protection hidden="1"/>
    </xf>
    <xf numFmtId="165" fontId="0" fillId="25" borderId="33" xfId="33" applyNumberFormat="1" applyFont="1" applyFill="1" applyBorder="1" applyProtection="1">
      <protection hidden="1"/>
    </xf>
    <xf numFmtId="165" fontId="0" fillId="25" borderId="34" xfId="33" applyNumberFormat="1" applyFont="1" applyFill="1" applyBorder="1" applyProtection="1">
      <protection hidden="1"/>
    </xf>
    <xf numFmtId="165" fontId="0" fillId="25" borderId="35" xfId="33" applyNumberFormat="1" applyFont="1" applyFill="1" applyBorder="1" applyProtection="1">
      <protection hidden="1"/>
    </xf>
    <xf numFmtId="165" fontId="0" fillId="0" borderId="33" xfId="33" applyNumberFormat="1" applyFont="1" applyFill="1" applyBorder="1" applyProtection="1">
      <protection hidden="1"/>
    </xf>
    <xf numFmtId="165" fontId="0" fillId="0" borderId="34" xfId="33" applyNumberFormat="1" applyFont="1" applyFill="1" applyBorder="1" applyProtection="1">
      <protection hidden="1"/>
    </xf>
    <xf numFmtId="165" fontId="0" fillId="0" borderId="35" xfId="33" applyNumberFormat="1" applyFont="1" applyFill="1" applyBorder="1" applyProtection="1">
      <protection hidden="1"/>
    </xf>
    <xf numFmtId="165" fontId="6" fillId="0" borderId="0" xfId="0" applyNumberFormat="1" applyFont="1" applyProtection="1">
      <protection hidden="1"/>
    </xf>
    <xf numFmtId="37" fontId="6" fillId="0" borderId="10" xfId="37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9" fontId="6" fillId="0" borderId="10" xfId="40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Fill="1" applyProtection="1">
      <protection hidden="1"/>
    </xf>
    <xf numFmtId="9" fontId="6" fillId="0" borderId="10" xfId="0" applyNumberFormat="1" applyFont="1" applyFill="1" applyBorder="1" applyAlignment="1" applyProtection="1">
      <alignment horizontal="center" vertical="center" wrapText="1"/>
      <protection hidden="1"/>
    </xf>
    <xf numFmtId="178" fontId="6" fillId="0" borderId="10" xfId="40" applyNumberFormat="1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Protection="1">
      <protection hidden="1"/>
    </xf>
    <xf numFmtId="37" fontId="33" fillId="0" borderId="0" xfId="37" applyFont="1" applyAlignment="1" applyProtection="1">
      <alignment horizontal="center" vertical="center"/>
      <protection hidden="1"/>
    </xf>
    <xf numFmtId="37" fontId="33" fillId="0" borderId="0" xfId="37" applyFont="1" applyFill="1" applyProtection="1">
      <protection hidden="1"/>
    </xf>
    <xf numFmtId="37" fontId="33" fillId="0" borderId="0" xfId="37" applyFont="1" applyProtection="1">
      <protection hidden="1"/>
    </xf>
    <xf numFmtId="37" fontId="40" fillId="0" borderId="0" xfId="37" applyFont="1" applyFill="1" applyBorder="1" applyAlignment="1" applyProtection="1">
      <alignment horizontal="center" vertical="center" wrapText="1"/>
      <protection hidden="1"/>
    </xf>
    <xf numFmtId="37" fontId="40" fillId="0" borderId="0" xfId="37" applyFont="1" applyFill="1" applyProtection="1">
      <protection hidden="1"/>
    </xf>
    <xf numFmtId="178" fontId="40" fillId="0" borderId="0" xfId="37" applyNumberFormat="1" applyFont="1" applyFill="1" applyProtection="1">
      <protection hidden="1"/>
    </xf>
    <xf numFmtId="179" fontId="41" fillId="0" borderId="0" xfId="0" applyNumberFormat="1" applyFont="1" applyFill="1" applyAlignment="1" applyProtection="1">
      <alignment horizontal="center" vertical="center" wrapText="1"/>
      <protection hidden="1"/>
    </xf>
    <xf numFmtId="178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Fill="1" applyAlignment="1" applyProtection="1">
      <alignment horizontal="center" vertical="center" wrapText="1"/>
      <protection hidden="1"/>
    </xf>
    <xf numFmtId="37" fontId="33" fillId="0" borderId="0" xfId="37" applyFont="1" applyAlignment="1" applyProtection="1">
      <alignment horizontal="center" vertical="center" wrapText="1"/>
      <protection hidden="1"/>
    </xf>
    <xf numFmtId="37" fontId="40" fillId="0" borderId="0" xfId="37" applyFont="1" applyProtection="1">
      <protection hidden="1"/>
    </xf>
    <xf numFmtId="3" fontId="32" fillId="0" borderId="20" xfId="0" applyNumberFormat="1" applyFont="1" applyBorder="1" applyProtection="1">
      <protection hidden="1"/>
    </xf>
    <xf numFmtId="175" fontId="1" fillId="0" borderId="20" xfId="40" applyNumberFormat="1" applyFont="1" applyFill="1" applyBorder="1" applyProtection="1">
      <protection hidden="1"/>
    </xf>
    <xf numFmtId="178" fontId="1" fillId="0" borderId="20" xfId="40" applyNumberFormat="1" applyFont="1" applyFill="1" applyBorder="1" applyProtection="1">
      <protection hidden="1"/>
    </xf>
    <xf numFmtId="165" fontId="1" fillId="0" borderId="20" xfId="33" applyNumberFormat="1" applyFont="1" applyFill="1" applyBorder="1" applyProtection="1">
      <protection hidden="1"/>
    </xf>
    <xf numFmtId="178" fontId="1" fillId="0" borderId="27" xfId="40" applyNumberFormat="1" applyFont="1" applyFill="1" applyBorder="1" applyProtection="1">
      <protection hidden="1"/>
    </xf>
    <xf numFmtId="37" fontId="1" fillId="0" borderId="11" xfId="37" applyFont="1" applyFill="1" applyBorder="1" applyAlignment="1" applyProtection="1">
      <protection hidden="1"/>
    </xf>
    <xf numFmtId="37" fontId="1" fillId="0" borderId="20" xfId="37" applyFont="1" applyFill="1" applyBorder="1" applyAlignment="1" applyProtection="1">
      <protection hidden="1"/>
    </xf>
    <xf numFmtId="180" fontId="1" fillId="0" borderId="20" xfId="37" applyNumberFormat="1" applyFont="1" applyFill="1" applyBorder="1" applyAlignment="1" applyProtection="1">
      <protection hidden="1"/>
    </xf>
    <xf numFmtId="175" fontId="32" fillId="0" borderId="20" xfId="40" applyNumberFormat="1" applyFont="1" applyBorder="1" applyProtection="1">
      <protection hidden="1"/>
    </xf>
    <xf numFmtId="1" fontId="43" fillId="0" borderId="20" xfId="40" applyNumberFormat="1" applyFont="1" applyBorder="1" applyProtection="1">
      <protection hidden="1"/>
    </xf>
    <xf numFmtId="180" fontId="1" fillId="0" borderId="22" xfId="37" applyNumberFormat="1" applyFont="1" applyFill="1" applyBorder="1" applyAlignment="1" applyProtection="1">
      <protection hidden="1"/>
    </xf>
    <xf numFmtId="178" fontId="32" fillId="0" borderId="20" xfId="40" applyNumberFormat="1" applyFont="1" applyBorder="1" applyProtection="1">
      <protection hidden="1"/>
    </xf>
    <xf numFmtId="174" fontId="1" fillId="0" borderId="20" xfId="33" applyNumberFormat="1" applyFont="1" applyFill="1" applyBorder="1" applyProtection="1">
      <protection hidden="1"/>
    </xf>
    <xf numFmtId="165" fontId="1" fillId="0" borderId="27" xfId="33" applyNumberFormat="1" applyFont="1" applyFill="1" applyBorder="1" applyProtection="1">
      <protection hidden="1"/>
    </xf>
    <xf numFmtId="37" fontId="1" fillId="0" borderId="11" xfId="37" applyFont="1" applyBorder="1" applyProtection="1">
      <protection hidden="1"/>
    </xf>
    <xf numFmtId="37" fontId="1" fillId="0" borderId="20" xfId="37" applyFont="1" applyBorder="1" applyProtection="1">
      <protection hidden="1"/>
    </xf>
    <xf numFmtId="179" fontId="1" fillId="0" borderId="21" xfId="40" applyNumberFormat="1" applyFont="1" applyBorder="1" applyProtection="1">
      <protection hidden="1"/>
    </xf>
    <xf numFmtId="3" fontId="32" fillId="0" borderId="23" xfId="0" applyNumberFormat="1" applyFont="1" applyBorder="1" applyProtection="1">
      <protection hidden="1"/>
    </xf>
    <xf numFmtId="175" fontId="1" fillId="0" borderId="23" xfId="40" applyNumberFormat="1" applyFont="1" applyFill="1" applyBorder="1" applyProtection="1">
      <protection hidden="1"/>
    </xf>
    <xf numFmtId="178" fontId="1" fillId="0" borderId="23" xfId="40" applyNumberFormat="1" applyFont="1" applyFill="1" applyBorder="1" applyProtection="1">
      <protection hidden="1"/>
    </xf>
    <xf numFmtId="165" fontId="1" fillId="0" borderId="23" xfId="33" applyNumberFormat="1" applyFont="1" applyFill="1" applyBorder="1" applyProtection="1">
      <protection hidden="1"/>
    </xf>
    <xf numFmtId="178" fontId="1" fillId="0" borderId="28" xfId="40" applyNumberFormat="1" applyFont="1" applyFill="1" applyBorder="1" applyProtection="1">
      <protection hidden="1"/>
    </xf>
    <xf numFmtId="37" fontId="1" fillId="0" borderId="12" xfId="37" applyFont="1" applyFill="1" applyBorder="1" applyAlignment="1" applyProtection="1">
      <protection hidden="1"/>
    </xf>
    <xf numFmtId="37" fontId="1" fillId="0" borderId="23" xfId="37" applyFont="1" applyFill="1" applyBorder="1" applyAlignment="1" applyProtection="1">
      <protection hidden="1"/>
    </xf>
    <xf numFmtId="180" fontId="1" fillId="0" borderId="23" xfId="37" applyNumberFormat="1" applyFont="1" applyFill="1" applyBorder="1" applyAlignment="1" applyProtection="1">
      <protection hidden="1"/>
    </xf>
    <xf numFmtId="175" fontId="32" fillId="0" borderId="23" xfId="40" applyNumberFormat="1" applyFont="1" applyBorder="1" applyProtection="1">
      <protection hidden="1"/>
    </xf>
    <xf numFmtId="1" fontId="43" fillId="0" borderId="23" xfId="40" applyNumberFormat="1" applyFont="1" applyBorder="1" applyProtection="1">
      <protection hidden="1"/>
    </xf>
    <xf numFmtId="180" fontId="1" fillId="0" borderId="24" xfId="37" applyNumberFormat="1" applyFont="1" applyFill="1" applyBorder="1" applyAlignment="1" applyProtection="1">
      <protection hidden="1"/>
    </xf>
    <xf numFmtId="178" fontId="32" fillId="0" borderId="23" xfId="40" applyNumberFormat="1" applyFont="1" applyBorder="1" applyProtection="1">
      <protection hidden="1"/>
    </xf>
    <xf numFmtId="174" fontId="1" fillId="0" borderId="23" xfId="33" applyNumberFormat="1" applyFont="1" applyFill="1" applyBorder="1" applyProtection="1">
      <protection hidden="1"/>
    </xf>
    <xf numFmtId="165" fontId="1" fillId="0" borderId="28" xfId="33" applyNumberFormat="1" applyFont="1" applyFill="1" applyBorder="1" applyProtection="1">
      <protection hidden="1"/>
    </xf>
    <xf numFmtId="37" fontId="1" fillId="0" borderId="12" xfId="37" applyFont="1" applyBorder="1" applyProtection="1">
      <protection hidden="1"/>
    </xf>
    <xf numFmtId="37" fontId="1" fillId="0" borderId="23" xfId="37" applyFont="1" applyBorder="1" applyProtection="1">
      <protection hidden="1"/>
    </xf>
    <xf numFmtId="179" fontId="1" fillId="0" borderId="19" xfId="40" applyNumberFormat="1" applyFont="1" applyBorder="1" applyProtection="1">
      <protection hidden="1"/>
    </xf>
    <xf numFmtId="3" fontId="36" fillId="0" borderId="14" xfId="0" applyNumberFormat="1" applyFont="1" applyBorder="1" applyProtection="1">
      <protection hidden="1"/>
    </xf>
    <xf numFmtId="175" fontId="6" fillId="0" borderId="14" xfId="40" applyNumberFormat="1" applyFont="1" applyFill="1" applyBorder="1" applyProtection="1">
      <protection hidden="1"/>
    </xf>
    <xf numFmtId="178" fontId="6" fillId="0" borderId="14" xfId="40" applyNumberFormat="1" applyFont="1" applyFill="1" applyBorder="1" applyProtection="1">
      <protection hidden="1"/>
    </xf>
    <xf numFmtId="165" fontId="6" fillId="0" borderId="14" xfId="33" applyNumberFormat="1" applyFont="1" applyFill="1" applyBorder="1" applyProtection="1">
      <protection hidden="1"/>
    </xf>
    <xf numFmtId="178" fontId="6" fillId="0" borderId="26" xfId="40" applyNumberFormat="1" applyFont="1" applyFill="1" applyBorder="1" applyProtection="1">
      <protection hidden="1"/>
    </xf>
    <xf numFmtId="37" fontId="42" fillId="0" borderId="13" xfId="37" applyFont="1" applyFill="1" applyBorder="1" applyAlignment="1" applyProtection="1">
      <protection hidden="1"/>
    </xf>
    <xf numFmtId="37" fontId="42" fillId="0" borderId="14" xfId="37" applyFont="1" applyFill="1" applyBorder="1" applyAlignment="1" applyProtection="1">
      <protection hidden="1"/>
    </xf>
    <xf numFmtId="173" fontId="42" fillId="0" borderId="14" xfId="37" applyNumberFormat="1" applyFont="1" applyFill="1" applyBorder="1" applyAlignment="1" applyProtection="1">
      <protection hidden="1"/>
    </xf>
    <xf numFmtId="175" fontId="36" fillId="0" borderId="14" xfId="40" applyNumberFormat="1" applyFont="1" applyBorder="1" applyProtection="1">
      <protection hidden="1"/>
    </xf>
    <xf numFmtId="1" fontId="44" fillId="0" borderId="14" xfId="40" applyNumberFormat="1" applyFont="1" applyBorder="1" applyProtection="1">
      <protection hidden="1"/>
    </xf>
    <xf numFmtId="173" fontId="42" fillId="0" borderId="25" xfId="37" applyNumberFormat="1" applyFont="1" applyFill="1" applyBorder="1" applyAlignment="1" applyProtection="1">
      <protection hidden="1"/>
    </xf>
    <xf numFmtId="178" fontId="36" fillId="0" borderId="14" xfId="40" applyNumberFormat="1" applyFont="1" applyBorder="1" applyProtection="1">
      <protection hidden="1"/>
    </xf>
    <xf numFmtId="168" fontId="6" fillId="0" borderId="14" xfId="40" applyNumberFormat="1" applyFont="1" applyFill="1" applyBorder="1" applyProtection="1">
      <protection hidden="1"/>
    </xf>
    <xf numFmtId="178" fontId="6" fillId="0" borderId="14" xfId="33" applyNumberFormat="1" applyFont="1" applyFill="1" applyBorder="1" applyProtection="1">
      <protection hidden="1"/>
    </xf>
    <xf numFmtId="174" fontId="6" fillId="0" borderId="14" xfId="33" applyNumberFormat="1" applyFont="1" applyFill="1" applyBorder="1" applyProtection="1">
      <protection hidden="1"/>
    </xf>
    <xf numFmtId="165" fontId="6" fillId="0" borderId="26" xfId="40" applyNumberFormat="1" applyFont="1" applyFill="1" applyBorder="1" applyProtection="1">
      <protection hidden="1"/>
    </xf>
    <xf numFmtId="37" fontId="6" fillId="0" borderId="13" xfId="37" applyFont="1" applyBorder="1" applyProtection="1">
      <protection hidden="1"/>
    </xf>
    <xf numFmtId="37" fontId="6" fillId="0" borderId="14" xfId="37" applyFont="1" applyBorder="1" applyProtection="1">
      <protection hidden="1"/>
    </xf>
    <xf numFmtId="179" fontId="6" fillId="0" borderId="15" xfId="40" applyNumberFormat="1" applyFont="1" applyBorder="1" applyProtection="1">
      <protection hidden="1"/>
    </xf>
    <xf numFmtId="178" fontId="1" fillId="0" borderId="0" xfId="37" applyNumberFormat="1" applyFont="1" applyProtection="1">
      <protection hidden="1"/>
    </xf>
    <xf numFmtId="39" fontId="1" fillId="0" borderId="0" xfId="37" applyNumberFormat="1" applyFont="1" applyProtection="1">
      <protection hidden="1"/>
    </xf>
    <xf numFmtId="179" fontId="1" fillId="0" borderId="0" xfId="37" applyNumberFormat="1" applyFont="1" applyProtection="1">
      <protection hidden="1"/>
    </xf>
    <xf numFmtId="166" fontId="1" fillId="0" borderId="0" xfId="40" applyNumberFormat="1" applyFont="1" applyProtection="1">
      <protection hidden="1"/>
    </xf>
    <xf numFmtId="178" fontId="1" fillId="0" borderId="0" xfId="37" applyNumberFormat="1" applyFont="1" applyFill="1" applyProtection="1">
      <protection hidden="1"/>
    </xf>
    <xf numFmtId="179" fontId="1" fillId="0" borderId="0" xfId="37" applyNumberFormat="1" applyFont="1" applyFill="1" applyProtection="1">
      <protection hidden="1"/>
    </xf>
    <xf numFmtId="166" fontId="1" fillId="0" borderId="0" xfId="40" applyNumberFormat="1" applyFont="1" applyFill="1" applyProtection="1">
      <protection hidden="1"/>
    </xf>
    <xf numFmtId="39" fontId="6" fillId="0" borderId="10" xfId="37" applyNumberFormat="1" applyFont="1" applyFill="1" applyBorder="1" applyAlignment="1" applyProtection="1">
      <alignment horizontal="center" vertical="center" wrapText="1"/>
      <protection hidden="1"/>
    </xf>
    <xf numFmtId="37" fontId="37" fillId="0" borderId="0" xfId="37" applyFont="1" applyFill="1" applyBorder="1" applyAlignment="1" applyProtection="1">
      <alignment horizontal="center" vertical="center" wrapText="1"/>
      <protection hidden="1"/>
    </xf>
    <xf numFmtId="39" fontId="33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37" applyNumberFormat="1" applyFont="1" applyProtection="1">
      <protection hidden="1"/>
    </xf>
    <xf numFmtId="179" fontId="40" fillId="0" borderId="0" xfId="37" applyNumberFormat="1" applyFont="1" applyFill="1" applyProtection="1">
      <protection hidden="1"/>
    </xf>
    <xf numFmtId="39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37" applyNumberFormat="1" applyFont="1" applyAlignment="1" applyProtection="1">
      <alignment horizontal="center" vertical="center" wrapText="1"/>
      <protection hidden="1"/>
    </xf>
    <xf numFmtId="37" fontId="1" fillId="0" borderId="11" xfId="37" applyNumberFormat="1" applyFont="1" applyFill="1" applyBorder="1" applyProtection="1">
      <protection hidden="1"/>
    </xf>
    <xf numFmtId="179" fontId="1" fillId="0" borderId="21" xfId="37" applyNumberFormat="1" applyFont="1" applyBorder="1" applyProtection="1">
      <protection hidden="1"/>
    </xf>
    <xf numFmtId="37" fontId="1" fillId="0" borderId="12" xfId="37" applyNumberFormat="1" applyFont="1" applyFill="1" applyBorder="1" applyProtection="1">
      <protection hidden="1"/>
    </xf>
    <xf numFmtId="179" fontId="1" fillId="0" borderId="19" xfId="37" applyNumberFormat="1" applyFont="1" applyBorder="1" applyProtection="1">
      <protection hidden="1"/>
    </xf>
    <xf numFmtId="179" fontId="6" fillId="0" borderId="15" xfId="37" applyNumberFormat="1" applyFont="1" applyBorder="1" applyProtection="1">
      <protection hidden="1"/>
    </xf>
    <xf numFmtId="173" fontId="6" fillId="0" borderId="0" xfId="37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horizontal="center" vertical="center" wrapText="1"/>
      <protection hidden="1"/>
    </xf>
    <xf numFmtId="173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37" fontId="1" fillId="0" borderId="20" xfId="37" applyNumberFormat="1" applyFont="1" applyFill="1" applyBorder="1" applyProtection="1">
      <protection hidden="1"/>
    </xf>
    <xf numFmtId="173" fontId="1" fillId="0" borderId="0" xfId="40" applyNumberFormat="1" applyFont="1" applyFill="1" applyBorder="1" applyProtection="1">
      <protection hidden="1"/>
    </xf>
    <xf numFmtId="37" fontId="1" fillId="0" borderId="23" xfId="37" applyNumberFormat="1" applyFont="1" applyFill="1" applyBorder="1" applyProtection="1">
      <protection hidden="1"/>
    </xf>
    <xf numFmtId="37" fontId="6" fillId="0" borderId="14" xfId="37" applyNumberFormat="1" applyFont="1" applyBorder="1" applyProtection="1">
      <protection hidden="1"/>
    </xf>
    <xf numFmtId="173" fontId="6" fillId="0" borderId="0" xfId="40" applyNumberFormat="1" applyFont="1" applyFill="1" applyBorder="1" applyProtection="1">
      <protection hidden="1"/>
    </xf>
    <xf numFmtId="177" fontId="6" fillId="0" borderId="14" xfId="33" applyNumberFormat="1" applyFont="1" applyFill="1" applyBorder="1" applyProtection="1">
      <protection hidden="1"/>
    </xf>
    <xf numFmtId="37" fontId="1" fillId="0" borderId="0" xfId="37" applyFont="1" applyAlignment="1" applyProtection="1">
      <protection hidden="1"/>
    </xf>
    <xf numFmtId="177" fontId="10" fillId="0" borderId="19" xfId="33" applyNumberFormat="1" applyFont="1" applyFill="1" applyBorder="1" applyProtection="1">
      <protection hidden="1"/>
    </xf>
    <xf numFmtId="177" fontId="10" fillId="0" borderId="21" xfId="33" applyNumberFormat="1" applyFont="1" applyFill="1" applyBorder="1" applyProtection="1">
      <protection hidden="1"/>
    </xf>
    <xf numFmtId="177" fontId="7" fillId="0" borderId="15" xfId="33" applyNumberFormat="1" applyFont="1" applyFill="1" applyBorder="1" applyProtection="1">
      <protection hidden="1"/>
    </xf>
    <xf numFmtId="37" fontId="48" fillId="0" borderId="0" xfId="37" applyFont="1" applyAlignment="1" applyProtection="1">
      <alignment horizontal="center"/>
      <protection hidden="1"/>
    </xf>
    <xf numFmtId="37" fontId="1" fillId="0" borderId="0" xfId="37" applyFont="1" applyAlignment="1" applyProtection="1">
      <alignment wrapText="1"/>
      <protection hidden="1"/>
    </xf>
    <xf numFmtId="37" fontId="1" fillId="0" borderId="30" xfId="37" applyFont="1" applyBorder="1" applyAlignment="1" applyProtection="1">
      <alignment wrapText="1"/>
      <protection hidden="1"/>
    </xf>
    <xf numFmtId="37" fontId="52" fillId="0" borderId="0" xfId="37" applyFont="1" applyProtection="1">
      <protection hidden="1"/>
    </xf>
    <xf numFmtId="37" fontId="6" fillId="0" borderId="29" xfId="37" applyFont="1" applyFill="1" applyBorder="1" applyAlignment="1" applyProtection="1">
      <alignment horizontal="center" vertical="center" wrapText="1"/>
      <protection hidden="1"/>
    </xf>
    <xf numFmtId="0" fontId="6" fillId="0" borderId="29" xfId="0" applyFont="1" applyFill="1" applyBorder="1" applyAlignment="1" applyProtection="1">
      <alignment horizontal="center" vertical="center" wrapText="1"/>
      <protection hidden="1"/>
    </xf>
    <xf numFmtId="9" fontId="6" fillId="0" borderId="29" xfId="40" applyFont="1" applyFill="1" applyBorder="1" applyAlignment="1" applyProtection="1">
      <alignment horizontal="center" vertical="center" wrapText="1"/>
      <protection hidden="1"/>
    </xf>
    <xf numFmtId="37" fontId="6" fillId="0" borderId="0" xfId="37" applyFont="1" applyFill="1" applyBorder="1" applyAlignment="1" applyProtection="1">
      <alignment horizontal="center" vertical="center" wrapText="1"/>
      <protection hidden="1"/>
    </xf>
    <xf numFmtId="9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78" fontId="6" fillId="0" borderId="29" xfId="40" applyNumberFormat="1" applyFont="1" applyFill="1" applyBorder="1" applyAlignment="1" applyProtection="1">
      <alignment horizontal="center" vertical="center" wrapText="1"/>
      <protection hidden="1"/>
    </xf>
    <xf numFmtId="179" fontId="45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45" fillId="0" borderId="29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37" fontId="33" fillId="0" borderId="0" xfId="37" applyFont="1" applyFill="1" applyBorder="1" applyAlignment="1" applyProtection="1">
      <alignment horizontal="center" vertical="center" wrapText="1"/>
      <protection hidden="1"/>
    </xf>
    <xf numFmtId="178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37" fillId="0" borderId="0" xfId="39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39" applyNumberFormat="1" applyFont="1" applyFill="1" applyBorder="1" applyAlignment="1" applyProtection="1">
      <alignment horizontal="center" vertical="center" wrapText="1"/>
      <protection hidden="1"/>
    </xf>
    <xf numFmtId="9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0" fontId="33" fillId="0" borderId="0" xfId="39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Fill="1" applyBorder="1" applyProtection="1">
      <protection hidden="1"/>
    </xf>
    <xf numFmtId="181" fontId="1" fillId="0" borderId="20" xfId="40" applyNumberFormat="1" applyFont="1" applyFill="1" applyBorder="1" applyProtection="1">
      <protection hidden="1"/>
    </xf>
    <xf numFmtId="181" fontId="1" fillId="0" borderId="23" xfId="40" applyNumberFormat="1" applyFont="1" applyFill="1" applyBorder="1" applyProtection="1">
      <protection hidden="1"/>
    </xf>
    <xf numFmtId="181" fontId="6" fillId="0" borderId="14" xfId="40" applyNumberFormat="1" applyFont="1" applyFill="1" applyBorder="1" applyProtection="1">
      <protection hidden="1"/>
    </xf>
    <xf numFmtId="182" fontId="1" fillId="0" borderId="20" xfId="40" applyNumberFormat="1" applyFont="1" applyFill="1" applyBorder="1" applyProtection="1">
      <protection hidden="1"/>
    </xf>
    <xf numFmtId="182" fontId="1" fillId="0" borderId="23" xfId="40" applyNumberFormat="1" applyFont="1" applyFill="1" applyBorder="1" applyProtection="1">
      <protection hidden="1"/>
    </xf>
    <xf numFmtId="182" fontId="6" fillId="0" borderId="14" xfId="40" applyNumberFormat="1" applyFont="1" applyFill="1" applyBorder="1" applyProtection="1">
      <protection hidden="1"/>
    </xf>
    <xf numFmtId="39" fontId="6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6" fillId="0" borderId="29" xfId="37" applyNumberFormat="1" applyFont="1" applyFill="1" applyBorder="1" applyAlignment="1" applyProtection="1">
      <alignment horizontal="center" vertical="center" wrapText="1"/>
      <protection hidden="1"/>
    </xf>
    <xf numFmtId="179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73" fontId="1" fillId="0" borderId="0" xfId="37" applyNumberFormat="1" applyFont="1" applyProtection="1">
      <protection hidden="1"/>
    </xf>
    <xf numFmtId="173" fontId="6" fillId="0" borderId="10" xfId="0" applyNumberFormat="1" applyFont="1" applyFill="1" applyBorder="1" applyAlignment="1" applyProtection="1">
      <alignment horizontal="center" vertical="center" wrapText="1"/>
      <protection hidden="1"/>
    </xf>
    <xf numFmtId="173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73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3" fontId="40" fillId="0" borderId="0" xfId="37" applyNumberFormat="1" applyFont="1" applyFill="1" applyProtection="1">
      <protection hidden="1"/>
    </xf>
    <xf numFmtId="173" fontId="1" fillId="0" borderId="20" xfId="40" applyNumberFormat="1" applyFont="1" applyFill="1" applyBorder="1" applyProtection="1">
      <protection hidden="1"/>
    </xf>
    <xf numFmtId="173" fontId="1" fillId="0" borderId="23" xfId="40" applyNumberFormat="1" applyFont="1" applyFill="1" applyBorder="1" applyProtection="1">
      <protection hidden="1"/>
    </xf>
    <xf numFmtId="173" fontId="6" fillId="0" borderId="14" xfId="40" applyNumberFormat="1" applyFont="1" applyFill="1" applyBorder="1" applyProtection="1">
      <protection hidden="1"/>
    </xf>
    <xf numFmtId="49" fontId="49" fillId="0" borderId="0" xfId="33" applyNumberFormat="1" applyFont="1" applyFill="1" applyBorder="1" applyAlignment="1" applyProtection="1">
      <alignment horizontal="center" vertical="center" wrapText="1"/>
      <protection hidden="1"/>
    </xf>
    <xf numFmtId="49" fontId="5" fillId="0" borderId="0" xfId="33" applyNumberFormat="1" applyFont="1" applyFill="1" applyBorder="1" applyAlignment="1" applyProtection="1">
      <alignment horizontal="center" vertical="center" wrapText="1"/>
      <protection hidden="1"/>
    </xf>
    <xf numFmtId="10" fontId="49" fillId="0" borderId="0" xfId="40" applyNumberFormat="1" applyFont="1" applyFill="1" applyBorder="1" applyAlignment="1" applyProtection="1">
      <alignment horizontal="center" vertical="center" wrapText="1"/>
      <protection hidden="1"/>
    </xf>
    <xf numFmtId="183" fontId="2" fillId="0" borderId="20" xfId="40" applyNumberFormat="1" applyFont="1" applyFill="1" applyBorder="1" applyProtection="1">
      <protection hidden="1"/>
    </xf>
    <xf numFmtId="183" fontId="2" fillId="0" borderId="23" xfId="40" applyNumberFormat="1" applyFont="1" applyFill="1" applyBorder="1" applyProtection="1">
      <protection hidden="1"/>
    </xf>
    <xf numFmtId="183" fontId="5" fillId="0" borderId="14" xfId="40" applyNumberFormat="1" applyFont="1" applyFill="1" applyBorder="1" applyProtection="1">
      <protection hidden="1"/>
    </xf>
    <xf numFmtId="0" fontId="6" fillId="24" borderId="32" xfId="0" applyFont="1" applyFill="1" applyBorder="1" applyAlignment="1" applyProtection="1">
      <alignment horizontal="center"/>
      <protection hidden="1"/>
    </xf>
    <xf numFmtId="0" fontId="6" fillId="24" borderId="31" xfId="0" applyFont="1" applyFill="1" applyBorder="1" applyAlignment="1" applyProtection="1">
      <alignment horizontal="center"/>
      <protection hidden="1"/>
    </xf>
    <xf numFmtId="0" fontId="6" fillId="24" borderId="0" xfId="0" applyFont="1" applyFill="1" applyBorder="1" applyAlignment="1" applyProtection="1">
      <alignment horizontal="center"/>
      <protection hidden="1"/>
    </xf>
    <xf numFmtId="184" fontId="31" fillId="0" borderId="0" xfId="37" applyNumberFormat="1" applyFont="1" applyBorder="1" applyAlignment="1" applyProtection="1">
      <alignment horizontal="center" vertical="center" wrapText="1"/>
      <protection hidden="1"/>
    </xf>
    <xf numFmtId="3" fontId="53" fillId="0" borderId="23" xfId="0" applyNumberFormat="1" applyFont="1" applyBorder="1"/>
    <xf numFmtId="3" fontId="0" fillId="0" borderId="0" xfId="0" applyNumberFormat="1" applyProtection="1">
      <protection hidden="1"/>
    </xf>
    <xf numFmtId="165" fontId="1" fillId="0" borderId="23" xfId="33" applyNumberFormat="1" applyFont="1" applyBorder="1" applyProtection="1">
      <protection hidden="1"/>
    </xf>
    <xf numFmtId="0" fontId="1" fillId="0" borderId="23" xfId="0" applyFont="1" applyBorder="1" applyProtection="1">
      <protection hidden="1"/>
    </xf>
    <xf numFmtId="49" fontId="53" fillId="0" borderId="23" xfId="0" applyNumberFormat="1" applyFont="1" applyBorder="1" applyAlignment="1"/>
    <xf numFmtId="0" fontId="6" fillId="0" borderId="23" xfId="0" applyFont="1" applyBorder="1" applyAlignment="1" applyProtection="1">
      <alignment horizontal="center" vertical="center"/>
      <protection hidden="1"/>
    </xf>
    <xf numFmtId="0" fontId="54" fillId="0" borderId="0" xfId="0" applyFont="1" applyProtection="1">
      <protection hidden="1"/>
    </xf>
    <xf numFmtId="0" fontId="6" fillId="0" borderId="0" xfId="0" applyFont="1" applyAlignment="1" applyProtection="1">
      <protection hidden="1"/>
    </xf>
    <xf numFmtId="0" fontId="1" fillId="0" borderId="0" xfId="0" applyFont="1" applyBorder="1" applyProtection="1">
      <protection hidden="1"/>
    </xf>
    <xf numFmtId="165" fontId="1" fillId="0" borderId="0" xfId="33" applyNumberFormat="1" applyFont="1" applyBorder="1" applyProtection="1">
      <protection hidden="1"/>
    </xf>
    <xf numFmtId="0" fontId="1" fillId="0" borderId="23" xfId="0" applyFont="1" applyBorder="1" applyAlignment="1" applyProtection="1">
      <alignment horizontal="center" wrapText="1"/>
      <protection hidden="1"/>
    </xf>
    <xf numFmtId="3" fontId="0" fillId="0" borderId="23" xfId="0" applyNumberFormat="1" applyBorder="1" applyProtection="1">
      <protection hidden="1"/>
    </xf>
    <xf numFmtId="0" fontId="6" fillId="0" borderId="23" xfId="0" applyFont="1" applyBorder="1" applyAlignment="1" applyProtection="1">
      <alignment vertical="center"/>
      <protection hidden="1"/>
    </xf>
    <xf numFmtId="0" fontId="6" fillId="0" borderId="23" xfId="0" applyFont="1" applyBorder="1" applyProtection="1">
      <protection hidden="1"/>
    </xf>
    <xf numFmtId="0" fontId="0" fillId="0" borderId="23" xfId="0" applyBorder="1" applyProtection="1">
      <protection hidden="1"/>
    </xf>
    <xf numFmtId="0" fontId="6" fillId="0" borderId="23" xfId="0" applyFont="1" applyBorder="1" applyAlignment="1" applyProtection="1">
      <alignment horizontal="center" wrapText="1"/>
      <protection hidden="1"/>
    </xf>
    <xf numFmtId="3" fontId="6" fillId="0" borderId="23" xfId="0" applyNumberFormat="1" applyFont="1" applyBorder="1" applyProtection="1">
      <protection hidden="1"/>
    </xf>
    <xf numFmtId="0" fontId="1" fillId="0" borderId="0" xfId="0" applyFont="1" applyProtection="1">
      <protection hidden="1"/>
    </xf>
    <xf numFmtId="0" fontId="35" fillId="0" borderId="0" xfId="0" applyFont="1" applyAlignment="1" applyProtection="1">
      <alignment vertical="top"/>
      <protection hidden="1"/>
    </xf>
    <xf numFmtId="184" fontId="2" fillId="0" borderId="0" xfId="37" applyNumberFormat="1" applyFont="1" applyProtection="1">
      <protection hidden="1"/>
    </xf>
    <xf numFmtId="165" fontId="0" fillId="0" borderId="0" xfId="0" applyNumberFormat="1" applyProtection="1">
      <protection hidden="1"/>
    </xf>
    <xf numFmtId="165" fontId="0" fillId="0" borderId="0" xfId="33" applyNumberFormat="1" applyFont="1" applyProtection="1">
      <protection hidden="1"/>
    </xf>
    <xf numFmtId="179" fontId="47" fillId="0" borderId="0" xfId="37" applyNumberFormat="1" applyFont="1" applyAlignment="1" applyProtection="1">
      <alignment horizontal="center" vertical="center"/>
      <protection hidden="1"/>
    </xf>
    <xf numFmtId="186" fontId="2" fillId="0" borderId="0" xfId="37" applyNumberFormat="1" applyFont="1" applyProtection="1">
      <protection hidden="1"/>
    </xf>
    <xf numFmtId="49" fontId="49" fillId="0" borderId="10" xfId="54" applyNumberFormat="1" applyFont="1" applyFill="1" applyBorder="1" applyAlignment="1" applyProtection="1">
      <alignment horizontal="center" vertical="center" wrapText="1"/>
      <protection hidden="1"/>
    </xf>
    <xf numFmtId="10" fontId="49" fillId="0" borderId="38" xfId="56" applyNumberFormat="1" applyFont="1" applyFill="1" applyBorder="1" applyAlignment="1" applyProtection="1">
      <alignment horizontal="center" vertical="center" wrapText="1"/>
      <protection hidden="1"/>
    </xf>
    <xf numFmtId="187" fontId="2" fillId="0" borderId="0" xfId="37" applyNumberFormat="1" applyFont="1" applyProtection="1">
      <protection hidden="1"/>
    </xf>
    <xf numFmtId="188" fontId="2" fillId="0" borderId="0" xfId="40" applyNumberFormat="1" applyFont="1" applyProtection="1">
      <protection hidden="1"/>
    </xf>
    <xf numFmtId="176" fontId="6" fillId="24" borderId="36" xfId="40" applyNumberFormat="1" applyFont="1" applyFill="1" applyBorder="1" applyAlignment="1" applyProtection="1">
      <alignment horizontal="center" vertical="center"/>
      <protection hidden="1"/>
    </xf>
    <xf numFmtId="9" fontId="6" fillId="24" borderId="36" xfId="4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179" fontId="45" fillId="0" borderId="10" xfId="0" applyNumberFormat="1" applyFont="1" applyFill="1" applyBorder="1" applyAlignment="1" applyProtection="1">
      <alignment horizontal="center" vertical="center" wrapText="1"/>
      <protection hidden="1"/>
    </xf>
    <xf numFmtId="179" fontId="1" fillId="0" borderId="21" xfId="40" applyNumberFormat="1" applyFont="1" applyFill="1" applyBorder="1" applyProtection="1">
      <protection hidden="1"/>
    </xf>
    <xf numFmtId="179" fontId="1" fillId="0" borderId="19" xfId="40" applyNumberFormat="1" applyFont="1" applyFill="1" applyBorder="1" applyProtection="1">
      <protection hidden="1"/>
    </xf>
    <xf numFmtId="179" fontId="6" fillId="0" borderId="15" xfId="40" applyNumberFormat="1" applyFont="1" applyFill="1" applyBorder="1" applyProtection="1">
      <protection hidden="1"/>
    </xf>
    <xf numFmtId="37" fontId="48" fillId="0" borderId="0" xfId="37" applyFont="1" applyAlignment="1" applyProtection="1">
      <protection hidden="1"/>
    </xf>
    <xf numFmtId="0" fontId="45" fillId="0" borderId="10" xfId="0" applyFont="1" applyFill="1" applyBorder="1" applyAlignment="1" applyProtection="1">
      <alignment horizontal="center" vertical="center" wrapText="1"/>
      <protection hidden="1"/>
    </xf>
    <xf numFmtId="165" fontId="36" fillId="0" borderId="14" xfId="33" applyNumberFormat="1" applyFont="1" applyFill="1" applyBorder="1" applyProtection="1">
      <protection hidden="1"/>
    </xf>
    <xf numFmtId="0" fontId="6" fillId="0" borderId="36" xfId="0" applyFont="1" applyFill="1" applyBorder="1" applyAlignment="1" applyProtection="1">
      <alignment horizontal="center" vertical="center" wrapText="1"/>
      <protection hidden="1"/>
    </xf>
    <xf numFmtId="0" fontId="0" fillId="0" borderId="30" xfId="0" applyBorder="1" applyAlignment="1"/>
    <xf numFmtId="0" fontId="9" fillId="0" borderId="0" xfId="0" applyFont="1" applyAlignment="1" applyProtection="1">
      <alignment vertical="center"/>
      <protection hidden="1"/>
    </xf>
    <xf numFmtId="49" fontId="49" fillId="0" borderId="37" xfId="54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protection hidden="1"/>
    </xf>
    <xf numFmtId="179" fontId="6" fillId="0" borderId="36" xfId="0" applyNumberFormat="1" applyFont="1" applyFill="1" applyBorder="1" applyAlignment="1" applyProtection="1">
      <alignment horizontal="center" vertical="center" wrapText="1"/>
      <protection hidden="1"/>
    </xf>
    <xf numFmtId="37" fontId="33" fillId="0" borderId="0" xfId="37" applyFont="1" applyFill="1" applyAlignment="1" applyProtection="1">
      <alignment horizontal="center" vertical="center"/>
      <protection hidden="1"/>
    </xf>
    <xf numFmtId="179" fontId="33" fillId="0" borderId="0" xfId="37" applyNumberFormat="1" applyFont="1" applyFill="1" applyProtection="1">
      <protection hidden="1"/>
    </xf>
    <xf numFmtId="37" fontId="33" fillId="0" borderId="0" xfId="37" applyFont="1" applyFill="1" applyAlignment="1" applyProtection="1">
      <alignment horizontal="center" vertical="center" wrapText="1"/>
      <protection hidden="1"/>
    </xf>
    <xf numFmtId="179" fontId="33" fillId="0" borderId="0" xfId="37" applyNumberFormat="1" applyFont="1" applyFill="1" applyAlignment="1" applyProtection="1">
      <alignment horizontal="center" vertical="center" wrapText="1"/>
      <protection hidden="1"/>
    </xf>
    <xf numFmtId="3" fontId="32" fillId="0" borderId="20" xfId="0" applyNumberFormat="1" applyFont="1" applyFill="1" applyBorder="1" applyProtection="1">
      <protection hidden="1"/>
    </xf>
    <xf numFmtId="179" fontId="1" fillId="0" borderId="16" xfId="33" applyNumberFormat="1" applyFont="1" applyFill="1" applyBorder="1" applyProtection="1">
      <protection hidden="1"/>
    </xf>
    <xf numFmtId="37" fontId="1" fillId="0" borderId="11" xfId="37" applyFont="1" applyFill="1" applyBorder="1" applyProtection="1">
      <protection hidden="1"/>
    </xf>
    <xf numFmtId="37" fontId="1" fillId="0" borderId="20" xfId="37" applyFont="1" applyFill="1" applyBorder="1" applyProtection="1">
      <protection hidden="1"/>
    </xf>
    <xf numFmtId="179" fontId="1" fillId="0" borderId="21" xfId="37" applyNumberFormat="1" applyFont="1" applyFill="1" applyBorder="1" applyProtection="1">
      <protection hidden="1"/>
    </xf>
    <xf numFmtId="3" fontId="32" fillId="0" borderId="23" xfId="0" applyNumberFormat="1" applyFont="1" applyFill="1" applyBorder="1" applyProtection="1">
      <protection hidden="1"/>
    </xf>
    <xf numFmtId="179" fontId="1" fillId="0" borderId="17" xfId="33" applyNumberFormat="1" applyFont="1" applyFill="1" applyBorder="1" applyProtection="1">
      <protection hidden="1"/>
    </xf>
    <xf numFmtId="37" fontId="1" fillId="0" borderId="12" xfId="37" applyFont="1" applyFill="1" applyBorder="1" applyProtection="1">
      <protection hidden="1"/>
    </xf>
    <xf numFmtId="37" fontId="1" fillId="0" borderId="23" xfId="37" applyFont="1" applyFill="1" applyBorder="1" applyProtection="1">
      <protection hidden="1"/>
    </xf>
    <xf numFmtId="179" fontId="1" fillId="0" borderId="19" xfId="37" applyNumberFormat="1" applyFont="1" applyFill="1" applyBorder="1" applyProtection="1">
      <protection hidden="1"/>
    </xf>
    <xf numFmtId="3" fontId="36" fillId="0" borderId="14" xfId="0" applyNumberFormat="1" applyFont="1" applyFill="1" applyBorder="1" applyProtection="1">
      <protection hidden="1"/>
    </xf>
    <xf numFmtId="37" fontId="6" fillId="0" borderId="13" xfId="37" applyNumberFormat="1" applyFont="1" applyFill="1" applyBorder="1" applyProtection="1">
      <protection hidden="1"/>
    </xf>
    <xf numFmtId="179" fontId="6" fillId="0" borderId="18" xfId="40" applyNumberFormat="1" applyFont="1" applyFill="1" applyBorder="1" applyProtection="1">
      <protection hidden="1"/>
    </xf>
    <xf numFmtId="37" fontId="6" fillId="0" borderId="13" xfId="37" applyFont="1" applyFill="1" applyBorder="1" applyProtection="1">
      <protection hidden="1"/>
    </xf>
    <xf numFmtId="37" fontId="6" fillId="0" borderId="14" xfId="37" applyFont="1" applyFill="1" applyBorder="1" applyProtection="1">
      <protection hidden="1"/>
    </xf>
    <xf numFmtId="179" fontId="6" fillId="0" borderId="15" xfId="37" applyNumberFormat="1" applyFont="1" applyFill="1" applyBorder="1" applyProtection="1">
      <protection hidden="1"/>
    </xf>
    <xf numFmtId="179" fontId="6" fillId="0" borderId="10" xfId="37" applyNumberFormat="1" applyFont="1" applyFill="1" applyBorder="1" applyAlignment="1" applyProtection="1">
      <alignment horizontal="center" vertical="center" wrapText="1"/>
      <protection hidden="1"/>
    </xf>
    <xf numFmtId="179" fontId="6" fillId="0" borderId="10" xfId="0" applyNumberFormat="1" applyFont="1" applyFill="1" applyBorder="1" applyAlignment="1" applyProtection="1">
      <alignment horizontal="center" vertical="center" wrapText="1"/>
      <protection hidden="1"/>
    </xf>
    <xf numFmtId="3" fontId="32" fillId="0" borderId="11" xfId="0" applyNumberFormat="1" applyFont="1" applyFill="1" applyBorder="1" applyProtection="1">
      <protection hidden="1"/>
    </xf>
    <xf numFmtId="175" fontId="32" fillId="0" borderId="20" xfId="40" applyNumberFormat="1" applyFont="1" applyFill="1" applyBorder="1" applyProtection="1">
      <protection hidden="1"/>
    </xf>
    <xf numFmtId="1" fontId="43" fillId="0" borderId="20" xfId="40" applyNumberFormat="1" applyFont="1" applyFill="1" applyBorder="1" applyProtection="1">
      <protection hidden="1"/>
    </xf>
    <xf numFmtId="178" fontId="32" fillId="0" borderId="20" xfId="40" applyNumberFormat="1" applyFont="1" applyFill="1" applyBorder="1" applyProtection="1">
      <protection hidden="1"/>
    </xf>
    <xf numFmtId="3" fontId="32" fillId="0" borderId="12" xfId="0" applyNumberFormat="1" applyFont="1" applyFill="1" applyBorder="1" applyProtection="1">
      <protection hidden="1"/>
    </xf>
    <xf numFmtId="175" fontId="32" fillId="0" borderId="23" xfId="40" applyNumberFormat="1" applyFont="1" applyFill="1" applyBorder="1" applyProtection="1">
      <protection hidden="1"/>
    </xf>
    <xf numFmtId="1" fontId="43" fillId="0" borderId="23" xfId="40" applyNumberFormat="1" applyFont="1" applyFill="1" applyBorder="1" applyProtection="1">
      <protection hidden="1"/>
    </xf>
    <xf numFmtId="178" fontId="32" fillId="0" borderId="23" xfId="40" applyNumberFormat="1" applyFont="1" applyFill="1" applyBorder="1" applyProtection="1">
      <protection hidden="1"/>
    </xf>
    <xf numFmtId="3" fontId="36" fillId="0" borderId="13" xfId="0" applyNumberFormat="1" applyFont="1" applyFill="1" applyBorder="1" applyProtection="1">
      <protection hidden="1"/>
    </xf>
    <xf numFmtId="175" fontId="36" fillId="0" borderId="14" xfId="40" applyNumberFormat="1" applyFont="1" applyFill="1" applyBorder="1" applyProtection="1">
      <protection hidden="1"/>
    </xf>
    <xf numFmtId="1" fontId="44" fillId="0" borderId="14" xfId="40" applyNumberFormat="1" applyFont="1" applyFill="1" applyBorder="1" applyProtection="1">
      <protection hidden="1"/>
    </xf>
    <xf numFmtId="178" fontId="36" fillId="0" borderId="14" xfId="40" applyNumberFormat="1" applyFont="1" applyFill="1" applyBorder="1" applyProtection="1">
      <protection hidden="1"/>
    </xf>
    <xf numFmtId="37" fontId="56" fillId="0" borderId="0" xfId="37" applyFont="1" applyProtection="1">
      <protection hidden="1"/>
    </xf>
    <xf numFmtId="37" fontId="56" fillId="0" borderId="0" xfId="37" applyFont="1" applyAlignment="1" applyProtection="1">
      <protection hidden="1"/>
    </xf>
    <xf numFmtId="10" fontId="49" fillId="0" borderId="10" xfId="56" applyNumberFormat="1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Alignment="1" applyProtection="1">
      <alignment wrapText="1"/>
      <protection hidden="1"/>
    </xf>
    <xf numFmtId="37" fontId="1" fillId="0" borderId="0" xfId="37" applyFont="1" applyAlignment="1" applyProtection="1">
      <alignment vertical="center" wrapText="1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6" fillId="24" borderId="44" xfId="0" applyFont="1" applyFill="1" applyBorder="1" applyAlignment="1" applyProtection="1">
      <alignment horizontal="center" vertical="center"/>
      <protection hidden="1"/>
    </xf>
    <xf numFmtId="0" fontId="6" fillId="24" borderId="45" xfId="0" applyFont="1" applyFill="1" applyBorder="1" applyAlignment="1" applyProtection="1">
      <alignment horizontal="center" vertical="center"/>
      <protection hidden="1"/>
    </xf>
    <xf numFmtId="0" fontId="52" fillId="24" borderId="43" xfId="0" applyFont="1" applyFill="1" applyBorder="1" applyAlignment="1" applyProtection="1">
      <alignment horizontal="center" vertical="center" wrapText="1"/>
      <protection hidden="1"/>
    </xf>
    <xf numFmtId="0" fontId="52" fillId="24" borderId="35" xfId="0" applyFont="1" applyFill="1" applyBorder="1" applyAlignment="1" applyProtection="1">
      <alignment horizontal="center" vertical="center" wrapText="1"/>
      <protection hidden="1"/>
    </xf>
    <xf numFmtId="0" fontId="47" fillId="0" borderId="30" xfId="0" applyFont="1" applyBorder="1" applyAlignment="1">
      <alignment horizontal="center"/>
    </xf>
    <xf numFmtId="37" fontId="47" fillId="0" borderId="30" xfId="37" applyFont="1" applyBorder="1" applyAlignment="1" applyProtection="1">
      <alignment horizontal="center"/>
      <protection hidden="1"/>
    </xf>
    <xf numFmtId="37" fontId="48" fillId="0" borderId="0" xfId="37" applyFont="1" applyAlignment="1" applyProtection="1">
      <alignment horizontal="center" wrapText="1"/>
      <protection hidden="1"/>
    </xf>
    <xf numFmtId="37" fontId="50" fillId="0" borderId="0" xfId="37" applyFont="1" applyAlignment="1" applyProtection="1">
      <alignment horizontal="center" wrapText="1"/>
      <protection hidden="1"/>
    </xf>
    <xf numFmtId="37" fontId="47" fillId="0" borderId="30" xfId="37" applyFont="1" applyBorder="1" applyAlignment="1" applyProtection="1">
      <alignment horizontal="center" vertical="center"/>
      <protection hidden="1"/>
    </xf>
    <xf numFmtId="37" fontId="1" fillId="0" borderId="30" xfId="37" applyFont="1" applyBorder="1" applyAlignment="1" applyProtection="1">
      <alignment horizontal="center" vertical="center"/>
      <protection hidden="1"/>
    </xf>
    <xf numFmtId="37" fontId="47" fillId="0" borderId="30" xfId="37" applyFont="1" applyBorder="1" applyAlignment="1" applyProtection="1">
      <alignment horizontal="center" vertical="center" wrapText="1"/>
      <protection hidden="1"/>
    </xf>
    <xf numFmtId="37" fontId="56" fillId="0" borderId="0" xfId="37" applyFont="1" applyAlignment="1" applyProtection="1">
      <alignment horizontal="left" wrapText="1"/>
      <protection hidden="1"/>
    </xf>
    <xf numFmtId="37" fontId="1" fillId="0" borderId="0" xfId="37" applyFont="1" applyAlignment="1" applyProtection="1">
      <alignment horizontal="left" vertical="center"/>
      <protection hidden="1"/>
    </xf>
    <xf numFmtId="37" fontId="55" fillId="0" borderId="0" xfId="37" applyFont="1" applyAlignment="1" applyProtection="1">
      <alignment horizontal="center"/>
      <protection hidden="1"/>
    </xf>
    <xf numFmtId="37" fontId="46" fillId="0" borderId="30" xfId="37" applyFont="1" applyBorder="1" applyAlignment="1" applyProtection="1">
      <alignment horizontal="center"/>
      <protection hidden="1"/>
    </xf>
    <xf numFmtId="37" fontId="1" fillId="0" borderId="30" xfId="37" applyFont="1" applyBorder="1" applyAlignment="1" applyProtection="1">
      <alignment horizontal="center"/>
      <protection hidden="1"/>
    </xf>
    <xf numFmtId="37" fontId="51" fillId="0" borderId="0" xfId="37" applyFont="1" applyAlignment="1" applyProtection="1">
      <alignment horizontal="center" wrapText="1"/>
      <protection hidden="1"/>
    </xf>
    <xf numFmtId="37" fontId="2" fillId="0" borderId="0" xfId="37" applyFont="1" applyAlignment="1" applyProtection="1">
      <alignment horizontal="center" wrapText="1"/>
      <protection hidden="1"/>
    </xf>
    <xf numFmtId="49" fontId="49" fillId="0" borderId="37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38" xfId="54" applyNumberFormat="1" applyFont="1" applyFill="1" applyBorder="1" applyAlignment="1" applyProtection="1">
      <alignment horizontal="center" vertical="center" wrapText="1"/>
      <protection hidden="1"/>
    </xf>
    <xf numFmtId="37" fontId="6" fillId="0" borderId="37" xfId="37" applyFont="1" applyFill="1" applyBorder="1" applyAlignment="1" applyProtection="1">
      <alignment horizontal="center" vertical="center" wrapText="1"/>
      <protection hidden="1"/>
    </xf>
    <xf numFmtId="37" fontId="6" fillId="0" borderId="38" xfId="37" applyFont="1" applyFill="1" applyBorder="1" applyAlignment="1" applyProtection="1">
      <alignment horizontal="center" vertical="center" wrapText="1"/>
      <protection hidden="1"/>
    </xf>
    <xf numFmtId="49" fontId="5" fillId="0" borderId="38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39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40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41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42" xfId="54" applyNumberFormat="1" applyFont="1" applyFill="1" applyBorder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/>
      <protection hidden="1"/>
    </xf>
  </cellXfs>
  <cellStyles count="5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 2" xfId="51"/>
    <cellStyle name="Millares 2 2" xfId="54"/>
    <cellStyle name="Millares 3" xfId="52"/>
    <cellStyle name="Neutral" xfId="34" builtinId="28" customBuiltin="1"/>
    <cellStyle name="Normal" xfId="0" builtinId="0"/>
    <cellStyle name="Normal 2" xfId="35"/>
    <cellStyle name="Normal 3" xfId="36"/>
    <cellStyle name="Normal 4" xfId="53"/>
    <cellStyle name="Normal_FGPAGO95" xfId="37"/>
    <cellStyle name="Notas" xfId="38" builtinId="10" customBuiltin="1"/>
    <cellStyle name="PESOS" xfId="39"/>
    <cellStyle name="Porcentual" xfId="40" builtinId="5"/>
    <cellStyle name="Porcentual 2" xfId="41"/>
    <cellStyle name="Porcentual 3" xfId="55"/>
    <cellStyle name="Porcentual 4" xfId="56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  <cellStyle name="UDI´s" xfId="50"/>
  </cellStyles>
  <dxfs count="1">
    <dxf>
      <fill>
        <gradientFill degree="180">
          <stop position="0">
            <color theme="0"/>
          </stop>
          <stop position="1">
            <color theme="9" tint="-0.25098422193060094"/>
          </stop>
        </gradientFill>
      </fill>
    </dxf>
  </dxfs>
  <tableStyles count="0" defaultTableStyle="TableStyleMedium9" defaultPivotStyle="PivotStyleLight16"/>
  <colors>
    <mruColors>
      <color rgb="FFA5002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C.Lotus.Notes.Data/CUADERNOS/2002/SEPTIEMBRE/PERFIL%201997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uda c sadm"/>
      <sheetName val="deuda c sadm (2)"/>
      <sheetName val="Alt corridas fin "/>
      <sheetName val="c credito"/>
      <sheetName val="c fideicomiso"/>
      <sheetName val="Bancomer"/>
      <sheetName val="genl-Bancomer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 refreshError="1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showGridLines="0" tabSelected="1" zoomScaleNormal="100" zoomScaleSheetLayoutView="100" workbookViewId="0">
      <selection activeCell="B31" sqref="B31:O31"/>
    </sheetView>
  </sheetViews>
  <sheetFormatPr baseColWidth="10" defaultColWidth="11.42578125" defaultRowHeight="12.75"/>
  <cols>
    <col min="1" max="1" width="1.7109375" style="19" customWidth="1"/>
    <col min="2" max="2" width="60.7109375" style="19" customWidth="1"/>
    <col min="3" max="3" width="14.140625" style="20" customWidth="1"/>
    <col min="4" max="4" width="1.7109375" style="19" customWidth="1"/>
    <col min="5" max="5" width="13.7109375" style="19" customWidth="1"/>
    <col min="6" max="6" width="13.85546875" style="19" customWidth="1"/>
    <col min="7" max="7" width="13.7109375" style="19" customWidth="1"/>
    <col min="8" max="8" width="1.7109375" style="19" customWidth="1"/>
    <col min="9" max="9" width="11.7109375" style="19" customWidth="1"/>
    <col min="10" max="10" width="13.140625" style="19" customWidth="1"/>
    <col min="11" max="11" width="11.28515625" style="19" bestFit="1" customWidth="1"/>
    <col min="12" max="12" width="1.7109375" style="19" customWidth="1"/>
    <col min="13" max="13" width="12.140625" style="19" customWidth="1"/>
    <col min="14" max="14" width="13.28515625" style="19" customWidth="1"/>
    <col min="15" max="15" width="12.28515625" style="19" bestFit="1" customWidth="1"/>
    <col min="16" max="18" width="11.42578125" style="19"/>
    <col min="19" max="19" width="11.42578125" style="19" customWidth="1"/>
    <col min="20" max="20" width="14.42578125" style="19" customWidth="1"/>
    <col min="21" max="21" width="12.7109375" style="19" customWidth="1"/>
    <col min="22" max="22" width="15.5703125" style="19" bestFit="1" customWidth="1"/>
    <col min="23" max="23" width="16" style="19" bestFit="1" customWidth="1"/>
    <col min="24" max="25" width="15.5703125" style="19" bestFit="1" customWidth="1"/>
    <col min="26" max="26" width="13.7109375" style="19" bestFit="1" customWidth="1"/>
    <col min="27" max="27" width="13" style="19" bestFit="1" customWidth="1"/>
    <col min="28" max="28" width="14" style="19" bestFit="1" customWidth="1"/>
    <col min="29" max="31" width="13.7109375" style="19" bestFit="1" customWidth="1"/>
    <col min="32" max="32" width="14" style="19" bestFit="1" customWidth="1"/>
    <col min="33" max="33" width="14.42578125" style="19" bestFit="1" customWidth="1"/>
    <col min="34" max="34" width="13.7109375" style="19" bestFit="1" customWidth="1"/>
    <col min="35" max="35" width="15.85546875" style="19" customWidth="1"/>
    <col min="36" max="36" width="12.7109375" style="19" bestFit="1" customWidth="1"/>
    <col min="37" max="16384" width="11.42578125" style="19"/>
  </cols>
  <sheetData>
    <row r="1" spans="1:15" ht="30.75" customHeight="1">
      <c r="B1" s="237" t="s">
        <v>248</v>
      </c>
    </row>
    <row r="2" spans="1:15" ht="34.5" customHeight="1">
      <c r="A2" s="280" t="s">
        <v>249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5" ht="24" customHeight="1"/>
    <row r="4" spans="1:15" ht="27.75" customHeight="1">
      <c r="B4" s="281" t="s">
        <v>209</v>
      </c>
      <c r="C4" s="283" t="s">
        <v>222</v>
      </c>
      <c r="E4" s="21" t="s">
        <v>81</v>
      </c>
      <c r="F4" s="21" t="s">
        <v>82</v>
      </c>
      <c r="G4" s="21" t="s">
        <v>83</v>
      </c>
      <c r="H4" s="22"/>
      <c r="I4" s="21" t="s">
        <v>84</v>
      </c>
      <c r="J4" s="21" t="s">
        <v>85</v>
      </c>
      <c r="K4" s="21" t="s">
        <v>86</v>
      </c>
      <c r="L4" s="22"/>
      <c r="M4" s="21" t="s">
        <v>87</v>
      </c>
      <c r="N4" s="21" t="s">
        <v>81</v>
      </c>
      <c r="O4" s="21" t="s">
        <v>82</v>
      </c>
    </row>
    <row r="5" spans="1:15" ht="24.75" customHeight="1">
      <c r="B5" s="282"/>
      <c r="C5" s="284"/>
      <c r="D5" s="20"/>
      <c r="E5" s="225">
        <v>0.42499999999999999</v>
      </c>
      <c r="F5" s="225">
        <v>0.27500000000000002</v>
      </c>
      <c r="G5" s="226">
        <v>0.3</v>
      </c>
      <c r="H5" s="227"/>
      <c r="I5" s="226">
        <v>0.35</v>
      </c>
      <c r="J5" s="226">
        <v>0.35</v>
      </c>
      <c r="K5" s="226">
        <v>0.3</v>
      </c>
      <c r="L5" s="227"/>
      <c r="M5" s="226">
        <v>0.5</v>
      </c>
      <c r="N5" s="226">
        <v>0.25</v>
      </c>
      <c r="O5" s="226">
        <v>0.25</v>
      </c>
    </row>
    <row r="6" spans="1:15">
      <c r="B6" s="23"/>
      <c r="C6" s="193" t="s">
        <v>174</v>
      </c>
      <c r="E6" s="194" t="s">
        <v>174</v>
      </c>
      <c r="F6" s="195" t="s">
        <v>174</v>
      </c>
      <c r="G6" s="193" t="s">
        <v>174</v>
      </c>
      <c r="I6" s="194" t="s">
        <v>174</v>
      </c>
      <c r="J6" s="195" t="s">
        <v>174</v>
      </c>
      <c r="K6" s="193" t="s">
        <v>174</v>
      </c>
      <c r="M6" s="194" t="s">
        <v>174</v>
      </c>
      <c r="N6" s="195" t="s">
        <v>174</v>
      </c>
      <c r="O6" s="193" t="s">
        <v>174</v>
      </c>
    </row>
    <row r="7" spans="1:15" ht="14.25">
      <c r="B7" s="26" t="s">
        <v>105</v>
      </c>
      <c r="C7" s="27">
        <f>'PART 1 SEM Y PEF'!P25*0.2</f>
        <v>4426774408.3759384</v>
      </c>
      <c r="E7" s="28">
        <f>+$C7*E$5</f>
        <v>1881379123.5597737</v>
      </c>
      <c r="F7" s="29">
        <f>+$C7*F$5</f>
        <v>1217362962.3033831</v>
      </c>
      <c r="G7" s="30">
        <f>+$C7*G$5</f>
        <v>1328032322.5127814</v>
      </c>
      <c r="I7" s="31"/>
      <c r="J7" s="32"/>
      <c r="K7" s="33"/>
      <c r="M7" s="31"/>
      <c r="N7" s="32"/>
      <c r="O7" s="33"/>
    </row>
    <row r="8" spans="1:15">
      <c r="B8" s="23"/>
      <c r="C8" s="34"/>
      <c r="E8" s="23"/>
      <c r="F8" s="24"/>
      <c r="G8" s="25"/>
      <c r="I8" s="23"/>
      <c r="J8" s="24"/>
      <c r="K8" s="25"/>
      <c r="M8" s="23"/>
      <c r="N8" s="24"/>
      <c r="O8" s="25"/>
    </row>
    <row r="9" spans="1:15" ht="14.25">
      <c r="B9" s="26" t="s">
        <v>106</v>
      </c>
      <c r="C9" s="27">
        <f>'PART 1 SEM Y PEF'!P26</f>
        <v>566778558.09431338</v>
      </c>
      <c r="E9" s="28">
        <f>+$C9*E$5</f>
        <v>240880887.19008318</v>
      </c>
      <c r="F9" s="29">
        <f>+$C9*F$5</f>
        <v>155864103.4759362</v>
      </c>
      <c r="G9" s="30">
        <f>+$C9*G$5</f>
        <v>170033567.428294</v>
      </c>
      <c r="I9" s="31"/>
      <c r="J9" s="32"/>
      <c r="K9" s="33"/>
      <c r="M9" s="31"/>
      <c r="N9" s="32"/>
      <c r="O9" s="33"/>
    </row>
    <row r="10" spans="1:15">
      <c r="B10" s="23"/>
      <c r="C10" s="34"/>
      <c r="E10" s="23"/>
      <c r="F10" s="24"/>
      <c r="G10" s="25"/>
      <c r="I10" s="23"/>
      <c r="J10" s="24"/>
      <c r="K10" s="25"/>
      <c r="M10" s="23"/>
      <c r="N10" s="24"/>
      <c r="O10" s="25"/>
    </row>
    <row r="11" spans="1:15" ht="14.25">
      <c r="B11" s="26" t="s">
        <v>244</v>
      </c>
      <c r="C11" s="27">
        <f>+'PART 1 SEM Y PEF'!P27*0.2</f>
        <v>165531472.62956893</v>
      </c>
      <c r="E11" s="28">
        <f>+$C11*E$5</f>
        <v>70350875.867566794</v>
      </c>
      <c r="F11" s="29">
        <f>+$C11*F$5</f>
        <v>45521154.973131463</v>
      </c>
      <c r="G11" s="30">
        <f>+$C11*G$5</f>
        <v>49659441.788870677</v>
      </c>
      <c r="I11" s="31"/>
      <c r="J11" s="32"/>
      <c r="K11" s="33"/>
      <c r="M11" s="31"/>
      <c r="N11" s="32"/>
      <c r="O11" s="33"/>
    </row>
    <row r="12" spans="1:15">
      <c r="B12" s="23"/>
      <c r="C12" s="34"/>
      <c r="E12" s="23"/>
      <c r="F12" s="24"/>
      <c r="G12" s="25"/>
      <c r="I12" s="23"/>
      <c r="J12" s="24"/>
      <c r="K12" s="25"/>
      <c r="M12" s="23"/>
      <c r="N12" s="24"/>
      <c r="O12" s="25"/>
    </row>
    <row r="13" spans="1:15" ht="14.25">
      <c r="B13" s="26" t="s">
        <v>245</v>
      </c>
      <c r="C13" s="27">
        <f>+'PART 1 SEM Y PEF'!P28*0.2</f>
        <v>202870830.93742192</v>
      </c>
      <c r="E13" s="28">
        <f>+$C13*E$5</f>
        <v>86220103.148404315</v>
      </c>
      <c r="F13" s="29">
        <f>+$C13*F$5</f>
        <v>55789478.507791035</v>
      </c>
      <c r="G13" s="30">
        <f>+$C13*G$5</f>
        <v>60861249.281226575</v>
      </c>
      <c r="I13" s="31"/>
      <c r="J13" s="32"/>
      <c r="K13" s="33"/>
      <c r="M13" s="31"/>
      <c r="N13" s="32"/>
      <c r="O13" s="33"/>
    </row>
    <row r="14" spans="1:15">
      <c r="B14" s="23"/>
      <c r="C14" s="34"/>
      <c r="E14" s="23"/>
      <c r="F14" s="24"/>
      <c r="G14" s="25"/>
      <c r="I14" s="23"/>
      <c r="J14" s="24"/>
      <c r="K14" s="25"/>
      <c r="M14" s="23"/>
      <c r="N14" s="24"/>
      <c r="O14" s="25"/>
    </row>
    <row r="15" spans="1:15" ht="14.25">
      <c r="B15" s="26" t="s">
        <v>246</v>
      </c>
      <c r="C15" s="27">
        <f>+'PART 1 SEM Y PEF'!P29*0.2</f>
        <v>134123710.71799999</v>
      </c>
      <c r="E15" s="28">
        <f>+$C15*E$5</f>
        <v>57002577.055149995</v>
      </c>
      <c r="F15" s="29">
        <f>+$C15*F$5</f>
        <v>36884020.447450005</v>
      </c>
      <c r="G15" s="30">
        <f>+$C15*G$5</f>
        <v>40237113.215399995</v>
      </c>
      <c r="I15" s="31"/>
      <c r="J15" s="32"/>
      <c r="K15" s="33"/>
      <c r="M15" s="31"/>
      <c r="N15" s="32"/>
      <c r="O15" s="33"/>
    </row>
    <row r="16" spans="1:15">
      <c r="B16" s="23"/>
      <c r="C16" s="34"/>
      <c r="E16" s="23"/>
      <c r="F16" s="24"/>
      <c r="G16" s="25"/>
      <c r="I16" s="23"/>
      <c r="J16" s="24"/>
      <c r="K16" s="25"/>
      <c r="M16" s="23"/>
      <c r="N16" s="24"/>
      <c r="O16" s="25"/>
    </row>
    <row r="17" spans="1:15" ht="14.25">
      <c r="B17" s="26" t="s">
        <v>247</v>
      </c>
      <c r="C17" s="27">
        <f>+'PART 1 SEM Y PEF'!P30*0.2</f>
        <v>221699273.70636365</v>
      </c>
      <c r="E17" s="31"/>
      <c r="F17" s="32"/>
      <c r="G17" s="33"/>
      <c r="I17" s="28">
        <f>+$C17*I$5</f>
        <v>77594745.797227278</v>
      </c>
      <c r="J17" s="29">
        <f>+$C17*J$5</f>
        <v>77594745.797227278</v>
      </c>
      <c r="K17" s="30">
        <f>+$C17*K$5</f>
        <v>66509782.111909091</v>
      </c>
      <c r="M17" s="31"/>
      <c r="N17" s="32"/>
      <c r="O17" s="33"/>
    </row>
    <row r="18" spans="1:15">
      <c r="B18" s="23"/>
      <c r="C18" s="34"/>
      <c r="E18" s="23"/>
      <c r="F18" s="24"/>
      <c r="G18" s="25"/>
      <c r="I18" s="23"/>
      <c r="J18" s="24"/>
      <c r="K18" s="25"/>
      <c r="M18" s="23"/>
      <c r="N18" s="24"/>
      <c r="O18" s="25"/>
    </row>
    <row r="19" spans="1:15" ht="14.25">
      <c r="B19" s="26" t="s">
        <v>107</v>
      </c>
      <c r="C19" s="27">
        <f>+'PART 1 SEM Y PEF'!P31*0.3</f>
        <v>559175802.83693492</v>
      </c>
      <c r="E19" s="23"/>
      <c r="F19" s="24"/>
      <c r="G19" s="25"/>
      <c r="I19" s="23"/>
      <c r="J19" s="24"/>
      <c r="K19" s="25"/>
      <c r="M19" s="28">
        <f>+$C19*M$5</f>
        <v>279587901.41846746</v>
      </c>
      <c r="N19" s="29">
        <f>+$C19*N$5</f>
        <v>139793950.70923373</v>
      </c>
      <c r="O19" s="30">
        <f>+$C19*O$5</f>
        <v>139793950.70923373</v>
      </c>
    </row>
    <row r="20" spans="1:15">
      <c r="B20" s="23"/>
      <c r="C20" s="34"/>
      <c r="E20" s="23"/>
      <c r="F20" s="24"/>
      <c r="G20" s="25"/>
      <c r="I20" s="23"/>
      <c r="J20" s="24"/>
      <c r="K20" s="25"/>
      <c r="M20" s="23"/>
      <c r="N20" s="24"/>
      <c r="O20" s="25"/>
    </row>
    <row r="21" spans="1:15">
      <c r="B21" s="35" t="s">
        <v>53</v>
      </c>
      <c r="C21" s="36">
        <f>SUM(C6:C20)</f>
        <v>6276954057.298542</v>
      </c>
      <c r="E21" s="37">
        <f t="shared" ref="E21:G21" si="0">SUM(E6:E20)</f>
        <v>2335833566.8209777</v>
      </c>
      <c r="F21" s="38">
        <f t="shared" si="0"/>
        <v>1511421719.7076917</v>
      </c>
      <c r="G21" s="39">
        <f t="shared" si="0"/>
        <v>1648823694.2265725</v>
      </c>
      <c r="I21" s="37">
        <f t="shared" ref="I21:K21" si="1">SUM(I6:I20)</f>
        <v>77594745.797227278</v>
      </c>
      <c r="J21" s="38">
        <f t="shared" si="1"/>
        <v>77594745.797227278</v>
      </c>
      <c r="K21" s="39">
        <f t="shared" si="1"/>
        <v>66509782.111909091</v>
      </c>
      <c r="M21" s="40">
        <f t="shared" ref="M21:O21" si="2">SUM(M6:M20)</f>
        <v>279587901.41846746</v>
      </c>
      <c r="N21" s="41">
        <f t="shared" si="2"/>
        <v>139793950.70923373</v>
      </c>
      <c r="O21" s="42">
        <f t="shared" si="2"/>
        <v>139793950.70923373</v>
      </c>
    </row>
    <row r="23" spans="1:15">
      <c r="C23" s="43"/>
      <c r="G23" s="217"/>
    </row>
    <row r="24" spans="1:15">
      <c r="C24" s="43"/>
    </row>
    <row r="25" spans="1:15">
      <c r="A25" s="19" t="s">
        <v>118</v>
      </c>
    </row>
    <row r="26" spans="1:15" ht="25.5" customHeight="1">
      <c r="A26" s="215" t="s">
        <v>74</v>
      </c>
      <c r="B26" s="279" t="s">
        <v>224</v>
      </c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</row>
    <row r="27" spans="1:15" ht="25.5" customHeight="1">
      <c r="A27" s="215" t="s">
        <v>75</v>
      </c>
      <c r="B27" s="279" t="s">
        <v>225</v>
      </c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</row>
    <row r="28" spans="1:15" ht="25.5" customHeight="1">
      <c r="A28" s="215" t="s">
        <v>76</v>
      </c>
      <c r="B28" s="279" t="s">
        <v>223</v>
      </c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</row>
    <row r="29" spans="1:15" ht="25.5" customHeight="1">
      <c r="A29" s="215" t="s">
        <v>77</v>
      </c>
      <c r="B29" s="279" t="s">
        <v>250</v>
      </c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</row>
    <row r="30" spans="1:15" ht="25.5" customHeight="1">
      <c r="A30" s="215" t="s">
        <v>78</v>
      </c>
      <c r="B30" s="279" t="s">
        <v>227</v>
      </c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</row>
    <row r="31" spans="1:15" ht="25.5" customHeight="1">
      <c r="A31" s="215" t="s">
        <v>79</v>
      </c>
      <c r="B31" s="278" t="s">
        <v>226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</row>
    <row r="32" spans="1:15">
      <c r="A32" s="215" t="s">
        <v>80</v>
      </c>
      <c r="B32" s="144" t="s">
        <v>228</v>
      </c>
      <c r="C32" s="204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</row>
  </sheetData>
  <mergeCells count="9">
    <mergeCell ref="B31:O31"/>
    <mergeCell ref="B30:O30"/>
    <mergeCell ref="A2:O2"/>
    <mergeCell ref="B26:O26"/>
    <mergeCell ref="B27:O27"/>
    <mergeCell ref="B28:O28"/>
    <mergeCell ref="B29:O29"/>
    <mergeCell ref="B4:B5"/>
    <mergeCell ref="C4:C5"/>
  </mergeCells>
  <pageMargins left="0.19685039370078741" right="0.19685039370078741" top="0.51181102362204722" bottom="0.15748031496062992" header="0.15748031496062992" footer="0.1574803149606299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88"/>
  <sheetViews>
    <sheetView zoomScaleNormal="100" workbookViewId="0">
      <selection activeCell="AI4" sqref="AI4"/>
    </sheetView>
  </sheetViews>
  <sheetFormatPr baseColWidth="10" defaultColWidth="9.7109375" defaultRowHeight="12.75"/>
  <cols>
    <col min="1" max="1" width="28.85546875" style="50" customWidth="1"/>
    <col min="2" max="2" width="12.42578125" style="50" customWidth="1"/>
    <col min="3" max="3" width="15.42578125" style="50" customWidth="1"/>
    <col min="4" max="4" width="12.5703125" style="115" customWidth="1"/>
    <col min="5" max="5" width="12.28515625" style="50" customWidth="1"/>
    <col min="6" max="6" width="15.5703125" style="50" customWidth="1"/>
    <col min="7" max="7" width="12" style="115" customWidth="1"/>
    <col min="8" max="8" width="17.7109375" style="117" customWidth="1"/>
    <col min="9" max="9" width="18" style="50" customWidth="1"/>
    <col min="10" max="10" width="16.140625" style="50" customWidth="1"/>
    <col min="11" max="11" width="14.140625" style="50" customWidth="1"/>
    <col min="12" max="12" width="15.5703125" style="50" customWidth="1"/>
    <col min="13" max="13" width="14.5703125" style="50" customWidth="1"/>
    <col min="14" max="14" width="17.42578125" style="50" customWidth="1"/>
    <col min="15" max="15" width="14.28515625" style="50" customWidth="1"/>
    <col min="16" max="16" width="15" style="50" customWidth="1"/>
    <col min="17" max="17" width="16.140625" style="50" customWidth="1"/>
    <col min="18" max="18" width="13.140625" style="50" customWidth="1"/>
    <col min="19" max="19" width="14" style="50" customWidth="1"/>
    <col min="20" max="20" width="12.85546875" style="50" customWidth="1"/>
    <col min="21" max="21" width="14.42578125" style="50" customWidth="1"/>
    <col min="22" max="22" width="14.28515625" style="50" customWidth="1"/>
    <col min="23" max="23" width="15.42578125" style="50" customWidth="1"/>
    <col min="24" max="24" width="13.5703125" style="50" customWidth="1"/>
    <col min="25" max="25" width="14.140625" style="50" customWidth="1"/>
    <col min="26" max="26" width="16.85546875" style="50" customWidth="1"/>
    <col min="27" max="27" width="14.140625" style="115" customWidth="1"/>
    <col min="28" max="28" width="18.42578125" style="50" bestFit="1" customWidth="1"/>
    <col min="29" max="29" width="16.85546875" style="50" bestFit="1" customWidth="1"/>
    <col min="30" max="30" width="13.85546875" style="115" customWidth="1"/>
    <col min="31" max="31" width="15.140625" style="115" customWidth="1"/>
    <col min="32" max="32" width="17.5703125" style="117" customWidth="1"/>
    <col min="33" max="34" width="15.5703125" style="50" bestFit="1" customWidth="1"/>
    <col min="35" max="35" width="16.28515625" style="50" bestFit="1" customWidth="1"/>
    <col min="36" max="36" width="13.85546875" style="50" bestFit="1" customWidth="1"/>
    <col min="37" max="37" width="16.140625" style="50" bestFit="1" customWidth="1"/>
    <col min="38" max="38" width="3.7109375" style="47" customWidth="1"/>
    <col min="39" max="41" width="18.42578125" style="50" customWidth="1"/>
    <col min="42" max="42" width="20.140625" style="50" customWidth="1"/>
    <col min="43" max="43" width="16.140625" style="50" bestFit="1" customWidth="1"/>
    <col min="44" max="16384" width="9.7109375" style="50"/>
  </cols>
  <sheetData>
    <row r="1" spans="1:43" ht="33" customHeight="1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</row>
    <row r="2" spans="1:43" ht="26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</row>
    <row r="3" spans="1:43" ht="18.75" thickBot="1">
      <c r="B3" s="286" t="s">
        <v>81</v>
      </c>
      <c r="C3" s="286"/>
      <c r="D3" s="286"/>
      <c r="E3" s="286"/>
      <c r="F3" s="286"/>
      <c r="G3" s="286"/>
      <c r="H3" s="286"/>
      <c r="I3" s="286" t="s">
        <v>164</v>
      </c>
      <c r="J3" s="286"/>
      <c r="K3" s="286"/>
      <c r="L3" s="286"/>
      <c r="M3" s="286"/>
      <c r="N3" s="286"/>
      <c r="O3" s="286" t="s">
        <v>164</v>
      </c>
      <c r="P3" s="286"/>
      <c r="Q3" s="286"/>
      <c r="R3" s="286"/>
      <c r="S3" s="286"/>
      <c r="T3" s="286"/>
      <c r="U3" s="236"/>
      <c r="V3" s="286" t="s">
        <v>164</v>
      </c>
      <c r="W3" s="286"/>
      <c r="X3" s="286"/>
      <c r="Y3" s="286"/>
      <c r="Z3" s="286"/>
      <c r="AA3" s="286"/>
      <c r="AB3" s="285" t="s">
        <v>164</v>
      </c>
      <c r="AC3" s="285"/>
      <c r="AD3" s="285"/>
      <c r="AE3" s="285"/>
      <c r="AF3" s="285"/>
      <c r="AG3" s="285" t="s">
        <v>234</v>
      </c>
      <c r="AH3" s="285"/>
      <c r="AI3" s="285"/>
      <c r="AJ3" s="285"/>
      <c r="AK3" s="285"/>
      <c r="AM3" s="285"/>
      <c r="AN3" s="285"/>
      <c r="AO3" s="285"/>
      <c r="AP3" s="285"/>
      <c r="AQ3" s="285"/>
    </row>
    <row r="4" spans="1:43" ht="64.5" thickBot="1">
      <c r="A4" s="44" t="s">
        <v>0</v>
      </c>
      <c r="B4" s="44" t="s">
        <v>135</v>
      </c>
      <c r="C4" s="45" t="s">
        <v>136</v>
      </c>
      <c r="D4" s="46">
        <v>0.85</v>
      </c>
      <c r="E4" s="44" t="s">
        <v>59</v>
      </c>
      <c r="F4" s="45" t="s">
        <v>137</v>
      </c>
      <c r="G4" s="46">
        <v>0.15</v>
      </c>
      <c r="H4" s="228" t="s">
        <v>138</v>
      </c>
      <c r="I4" s="44" t="s">
        <v>119</v>
      </c>
      <c r="J4" s="44" t="s">
        <v>120</v>
      </c>
      <c r="K4" s="44" t="s">
        <v>139</v>
      </c>
      <c r="L4" s="44" t="s">
        <v>140</v>
      </c>
      <c r="M4" s="44" t="s">
        <v>121</v>
      </c>
      <c r="N4" s="44" t="s">
        <v>147</v>
      </c>
      <c r="O4" s="44" t="s">
        <v>148</v>
      </c>
      <c r="P4" s="44" t="s">
        <v>143</v>
      </c>
      <c r="Q4" s="44" t="s">
        <v>64</v>
      </c>
      <c r="R4" s="44" t="s">
        <v>130</v>
      </c>
      <c r="S4" s="44" t="s">
        <v>131</v>
      </c>
      <c r="T4" s="44" t="s">
        <v>150</v>
      </c>
      <c r="U4" s="44" t="s">
        <v>149</v>
      </c>
      <c r="V4" s="44" t="s">
        <v>121</v>
      </c>
      <c r="W4" s="44" t="s">
        <v>142</v>
      </c>
      <c r="X4" s="44" t="s">
        <v>145</v>
      </c>
      <c r="Y4" s="44" t="s">
        <v>144</v>
      </c>
      <c r="Z4" s="44" t="s">
        <v>63</v>
      </c>
      <c r="AA4" s="46">
        <v>0.85</v>
      </c>
      <c r="AB4" s="44" t="s">
        <v>146</v>
      </c>
      <c r="AC4" s="48" t="s">
        <v>65</v>
      </c>
      <c r="AD4" s="49" t="s">
        <v>67</v>
      </c>
      <c r="AE4" s="46">
        <v>0.15</v>
      </c>
      <c r="AF4" s="228" t="s">
        <v>141</v>
      </c>
      <c r="AG4" s="45" t="s">
        <v>229</v>
      </c>
      <c r="AH4" s="44" t="s">
        <v>233</v>
      </c>
      <c r="AI4" s="45" t="s">
        <v>71</v>
      </c>
      <c r="AJ4" s="48" t="s">
        <v>72</v>
      </c>
      <c r="AK4" s="233" t="s">
        <v>151</v>
      </c>
      <c r="AM4" s="235" t="s">
        <v>166</v>
      </c>
      <c r="AN4" s="235" t="s">
        <v>168</v>
      </c>
      <c r="AO4" s="235" t="s">
        <v>169</v>
      </c>
      <c r="AP4" s="235" t="s">
        <v>100</v>
      </c>
      <c r="AQ4" s="235" t="s">
        <v>152</v>
      </c>
    </row>
    <row r="5" spans="1:43">
      <c r="A5" s="152"/>
      <c r="B5" s="152"/>
      <c r="C5" s="153"/>
      <c r="D5" s="154"/>
      <c r="E5" s="155"/>
      <c r="F5" s="153"/>
      <c r="G5" s="154"/>
      <c r="H5" s="158"/>
      <c r="I5" s="155"/>
      <c r="J5" s="155"/>
      <c r="K5" s="155"/>
      <c r="L5" s="155"/>
      <c r="M5" s="155"/>
      <c r="N5" s="155"/>
      <c r="O5" s="155"/>
      <c r="P5" s="155"/>
      <c r="Q5" s="152"/>
      <c r="R5" s="155"/>
      <c r="S5" s="155"/>
      <c r="T5" s="155"/>
      <c r="U5" s="155"/>
      <c r="V5" s="155"/>
      <c r="W5" s="155"/>
      <c r="X5" s="155"/>
      <c r="Y5" s="155"/>
      <c r="Z5" s="152"/>
      <c r="AA5" s="154"/>
      <c r="AB5" s="152"/>
      <c r="AC5" s="156"/>
      <c r="AD5" s="157"/>
      <c r="AE5" s="154"/>
      <c r="AF5" s="158"/>
      <c r="AG5" s="153" t="s">
        <v>174</v>
      </c>
      <c r="AH5" s="152" t="s">
        <v>174</v>
      </c>
      <c r="AI5" s="153"/>
      <c r="AJ5" s="156"/>
      <c r="AK5" s="159"/>
      <c r="AL5" s="167"/>
      <c r="AM5" s="160" t="s">
        <v>174</v>
      </c>
      <c r="AN5" s="160" t="s">
        <v>174</v>
      </c>
      <c r="AO5" s="160" t="s">
        <v>174</v>
      </c>
      <c r="AP5" s="160" t="s">
        <v>174</v>
      </c>
      <c r="AQ5" s="160"/>
    </row>
    <row r="6" spans="1:43" s="53" customFormat="1" ht="22.5">
      <c r="A6" s="161"/>
      <c r="B6" s="161" t="s">
        <v>58</v>
      </c>
      <c r="C6" s="136" t="s">
        <v>108</v>
      </c>
      <c r="D6" s="162" t="s">
        <v>111</v>
      </c>
      <c r="E6" s="51" t="s">
        <v>70</v>
      </c>
      <c r="F6" s="136" t="s">
        <v>112</v>
      </c>
      <c r="G6" s="162" t="s">
        <v>113</v>
      </c>
      <c r="H6" s="163" t="s">
        <v>94</v>
      </c>
      <c r="I6" s="51" t="s">
        <v>122</v>
      </c>
      <c r="J6" s="51" t="s">
        <v>123</v>
      </c>
      <c r="K6" s="51" t="s">
        <v>124</v>
      </c>
      <c r="L6" s="51" t="s">
        <v>125</v>
      </c>
      <c r="M6" s="51" t="s">
        <v>126</v>
      </c>
      <c r="N6" s="51" t="s">
        <v>127</v>
      </c>
      <c r="O6" s="51" t="s">
        <v>128</v>
      </c>
      <c r="P6" s="51" t="s">
        <v>129</v>
      </c>
      <c r="Q6" s="161" t="s">
        <v>61</v>
      </c>
      <c r="R6" s="51" t="s">
        <v>122</v>
      </c>
      <c r="S6" s="51" t="s">
        <v>123</v>
      </c>
      <c r="T6" s="51" t="s">
        <v>124</v>
      </c>
      <c r="U6" s="51" t="s">
        <v>125</v>
      </c>
      <c r="V6" s="51" t="s">
        <v>126</v>
      </c>
      <c r="W6" s="51" t="s">
        <v>127</v>
      </c>
      <c r="X6" s="51" t="s">
        <v>128</v>
      </c>
      <c r="Y6" s="51" t="s">
        <v>129</v>
      </c>
      <c r="Z6" s="136" t="s">
        <v>60</v>
      </c>
      <c r="AA6" s="162" t="s">
        <v>114</v>
      </c>
      <c r="AB6" s="136" t="s">
        <v>66</v>
      </c>
      <c r="AC6" s="136" t="s">
        <v>62</v>
      </c>
      <c r="AD6" s="162" t="s">
        <v>115</v>
      </c>
      <c r="AE6" s="162" t="s">
        <v>117</v>
      </c>
      <c r="AF6" s="164" t="s">
        <v>68</v>
      </c>
      <c r="AG6" s="165" t="s">
        <v>69</v>
      </c>
      <c r="AH6" s="136" t="s">
        <v>54</v>
      </c>
      <c r="AI6" s="136" t="s">
        <v>55</v>
      </c>
      <c r="AJ6" s="136" t="s">
        <v>56</v>
      </c>
      <c r="AK6" s="166" t="s">
        <v>110</v>
      </c>
      <c r="AL6" s="52"/>
      <c r="AM6" s="51">
        <f>+AP6*0.425</f>
        <v>2335833566.8209777</v>
      </c>
      <c r="AN6" s="51">
        <f>+AP6*0.275</f>
        <v>1511421719.7076914</v>
      </c>
      <c r="AO6" s="51">
        <f>+AP6*0.3</f>
        <v>1648823694.2265723</v>
      </c>
      <c r="AP6" s="51">
        <f>+'PARTICIPACIONES 2015'!E21+'PARTICIPACIONES 2015'!F21+'PARTICIPACIONES 2015'!G21</f>
        <v>5496078980.7552414</v>
      </c>
    </row>
    <row r="7" spans="1:43" s="61" customFormat="1" ht="23.25" customHeight="1" thickBot="1">
      <c r="A7" s="54"/>
      <c r="B7" s="54"/>
      <c r="C7" s="55"/>
      <c r="D7" s="56"/>
      <c r="E7" s="55"/>
      <c r="F7" s="55"/>
      <c r="G7" s="56"/>
      <c r="H7" s="57"/>
      <c r="I7" s="51"/>
      <c r="J7" s="51"/>
      <c r="K7" s="51"/>
      <c r="L7" s="51"/>
      <c r="M7" s="51"/>
      <c r="N7" s="51"/>
      <c r="O7" s="51"/>
      <c r="P7" s="51"/>
      <c r="Q7" s="54"/>
      <c r="R7" s="51"/>
      <c r="S7" s="51"/>
      <c r="T7" s="51"/>
      <c r="U7" s="51"/>
      <c r="V7" s="51"/>
      <c r="W7" s="51"/>
      <c r="X7" s="51"/>
      <c r="Y7" s="51"/>
      <c r="Z7" s="55"/>
      <c r="AA7" s="58"/>
      <c r="AB7" s="55"/>
      <c r="AC7" s="55"/>
      <c r="AD7" s="56"/>
      <c r="AE7" s="56"/>
      <c r="AF7" s="57"/>
      <c r="AG7" s="55"/>
      <c r="AH7" s="55"/>
      <c r="AI7" s="55"/>
      <c r="AJ7" s="55"/>
      <c r="AK7" s="59"/>
      <c r="AL7" s="55"/>
      <c r="AM7" s="51" t="s">
        <v>95</v>
      </c>
      <c r="AN7" s="51" t="s">
        <v>206</v>
      </c>
      <c r="AO7" s="51" t="s">
        <v>205</v>
      </c>
      <c r="AP7" s="60" t="s">
        <v>207</v>
      </c>
      <c r="AQ7" s="60" t="s">
        <v>97</v>
      </c>
    </row>
    <row r="8" spans="1:43" ht="15" thickTop="1">
      <c r="A8" s="5" t="s">
        <v>1</v>
      </c>
      <c r="B8" s="62">
        <v>2791</v>
      </c>
      <c r="C8" s="171">
        <f t="shared" ref="C8:C39" si="0">+B8/$B$59</f>
        <v>5.9976903197579094E-4</v>
      </c>
      <c r="D8" s="64">
        <f>+C8*D$4</f>
        <v>5.0980367717942232E-4</v>
      </c>
      <c r="E8" s="65">
        <v>47.45</v>
      </c>
      <c r="F8" s="168">
        <f t="shared" ref="F8:F39" si="1">+E8/$E$59</f>
        <v>7.3886478603129777E-4</v>
      </c>
      <c r="G8" s="66">
        <f>+F8*G$4</f>
        <v>1.1082971790469465E-4</v>
      </c>
      <c r="H8" s="229">
        <f>+G8+D8</f>
        <v>6.20633395084117E-4</v>
      </c>
      <c r="I8" s="67">
        <v>334</v>
      </c>
      <c r="J8" s="68">
        <v>78</v>
      </c>
      <c r="K8" s="68">
        <v>539</v>
      </c>
      <c r="L8" s="68">
        <v>28</v>
      </c>
      <c r="M8" s="69">
        <f>+I8/I$59*0.25</f>
        <v>1.9531661173630621E-4</v>
      </c>
      <c r="N8" s="69">
        <f t="shared" ref="N8:P23" si="2">+J8/J$59*0.25</f>
        <v>2.2168411718563488E-4</v>
      </c>
      <c r="O8" s="69">
        <f t="shared" si="2"/>
        <v>4.0332477297080497E-4</v>
      </c>
      <c r="P8" s="69">
        <f t="shared" si="2"/>
        <v>1.788314641187441E-4</v>
      </c>
      <c r="Q8" s="70">
        <f>SUM(M8:P8)</f>
        <v>9.9915696601149016E-4</v>
      </c>
      <c r="R8" s="71">
        <v>194.999999997044</v>
      </c>
      <c r="S8" s="71">
        <v>51</v>
      </c>
      <c r="T8" s="71">
        <v>69</v>
      </c>
      <c r="U8" s="71">
        <v>52</v>
      </c>
      <c r="V8" s="72">
        <f>+R8/R$59*0.25</f>
        <v>1.5336072329640257E-4</v>
      </c>
      <c r="W8" s="72">
        <f t="shared" ref="W8:Y58" si="3">+S8/S$59*0.25</f>
        <v>1.7408044564594084E-4</v>
      </c>
      <c r="X8" s="72">
        <f t="shared" si="3"/>
        <v>1.4011176451476657E-4</v>
      </c>
      <c r="Y8" s="72">
        <f t="shared" si="3"/>
        <v>9.4710767885764239E-4</v>
      </c>
      <c r="Z8" s="63">
        <f>SUM(V8:Y8)</f>
        <v>1.4146606123147524E-3</v>
      </c>
      <c r="AA8" s="73">
        <f t="shared" ref="AA8:AA39" si="4">+Z8*AA$4</f>
        <v>1.2024615204675394E-3</v>
      </c>
      <c r="AB8" s="63">
        <f t="shared" ref="AB8:AB58" si="5">+(Z8-Q8)/Q8</f>
        <v>0.415854225549666</v>
      </c>
      <c r="AC8" s="63">
        <f t="shared" ref="AC8:AC58" si="6">IF(AB8&gt;0,0,AB8)</f>
        <v>0</v>
      </c>
      <c r="AD8" s="64">
        <f>+AC8/AC$59</f>
        <v>0</v>
      </c>
      <c r="AE8" s="64">
        <f t="shared" ref="AE8:AE39" si="7">+AD8*AE$4</f>
        <v>0</v>
      </c>
      <c r="AF8" s="229">
        <f t="shared" ref="AF8:AF58" si="8">+AE8+AA8</f>
        <v>1.2024615204675394E-3</v>
      </c>
      <c r="AG8" s="65">
        <v>444639</v>
      </c>
      <c r="AH8" s="65">
        <v>87883</v>
      </c>
      <c r="AI8" s="74">
        <f t="shared" ref="AI8:AI39" si="9">+AH8/AG8</f>
        <v>0.1976502286124249</v>
      </c>
      <c r="AJ8" s="75">
        <f>+AI8*AH8</f>
        <v>17370.095041145738</v>
      </c>
      <c r="AK8" s="229">
        <f>+AJ8/AJ$59</f>
        <v>1.5931806758385581E-5</v>
      </c>
      <c r="AM8" s="76">
        <f t="shared" ref="AM8:AM39" si="10">+H8*AM$6</f>
        <v>1449696.3169275459</v>
      </c>
      <c r="AN8" s="77">
        <f t="shared" ref="AN8:AN39" si="11">+AF8*AN$6</f>
        <v>1817426.4591473739</v>
      </c>
      <c r="AO8" s="77">
        <f t="shared" ref="AO8:AO39" si="12">+AK8*AO$6</f>
        <v>26268.740475065184</v>
      </c>
      <c r="AP8" s="77">
        <f t="shared" ref="AP8:AP39" si="13">SUM(AM8:AO8)</f>
        <v>3293391.5165499849</v>
      </c>
      <c r="AQ8" s="78">
        <f>+AP8/AP$59</f>
        <v>5.9922565306683878E-4</v>
      </c>
    </row>
    <row r="9" spans="1:43" ht="14.25">
      <c r="A9" s="7" t="s">
        <v>2</v>
      </c>
      <c r="B9" s="79">
        <v>3443</v>
      </c>
      <c r="C9" s="172">
        <f t="shared" si="0"/>
        <v>7.3987989146995627E-4</v>
      </c>
      <c r="D9" s="81">
        <f t="shared" ref="D9:D58" si="14">+C9*D$4</f>
        <v>6.2889790774946284E-4</v>
      </c>
      <c r="E9" s="82">
        <v>978.99</v>
      </c>
      <c r="F9" s="169">
        <f t="shared" si="1"/>
        <v>1.524428317970032E-2</v>
      </c>
      <c r="G9" s="83">
        <f t="shared" ref="G9:G58" si="15">+F9*G$4</f>
        <v>2.2866424769550477E-3</v>
      </c>
      <c r="H9" s="230">
        <f t="shared" ref="H9:H58" si="16">+G9+D9</f>
        <v>2.9155403847045108E-3</v>
      </c>
      <c r="I9" s="84">
        <v>768</v>
      </c>
      <c r="J9" s="85">
        <v>191</v>
      </c>
      <c r="K9" s="85">
        <v>961</v>
      </c>
      <c r="L9" s="85">
        <v>102</v>
      </c>
      <c r="M9" s="86">
        <f t="shared" ref="M9:P58" si="17">+I9/I$59*0.25</f>
        <v>4.4911125093857236E-4</v>
      </c>
      <c r="N9" s="86">
        <f t="shared" si="2"/>
        <v>5.4284187669815717E-4</v>
      </c>
      <c r="O9" s="86">
        <f t="shared" si="2"/>
        <v>7.1910038371974692E-4</v>
      </c>
      <c r="P9" s="86">
        <f t="shared" si="2"/>
        <v>6.514574764325678E-4</v>
      </c>
      <c r="Q9" s="87">
        <f t="shared" ref="Q9:Q58" si="18">SUM(M9:P9)</f>
        <v>2.3625109877890441E-3</v>
      </c>
      <c r="R9" s="88">
        <v>468.99999999269994</v>
      </c>
      <c r="S9" s="88">
        <v>120</v>
      </c>
      <c r="T9" s="88">
        <v>175</v>
      </c>
      <c r="U9" s="88">
        <v>44</v>
      </c>
      <c r="V9" s="89">
        <f t="shared" ref="V9:V58" si="19">+R9/R$59*0.25</f>
        <v>3.6885220115889019E-4</v>
      </c>
      <c r="W9" s="89">
        <f t="shared" si="3"/>
        <v>4.0960104857868437E-4</v>
      </c>
      <c r="X9" s="89">
        <f t="shared" si="3"/>
        <v>3.5535592449397314E-4</v>
      </c>
      <c r="Y9" s="89">
        <f t="shared" si="3"/>
        <v>8.0139880518723594E-4</v>
      </c>
      <c r="Z9" s="80">
        <f t="shared" ref="Z9:Z58" si="20">SUM(V9:Y9)</f>
        <v>1.9352079794187835E-3</v>
      </c>
      <c r="AA9" s="90">
        <f t="shared" si="4"/>
        <v>1.644926782505966E-3</v>
      </c>
      <c r="AB9" s="80">
        <f t="shared" si="5"/>
        <v>-0.1808681570493571</v>
      </c>
      <c r="AC9" s="80">
        <f t="shared" si="6"/>
        <v>-0.1808681570493571</v>
      </c>
      <c r="AD9" s="81">
        <f t="shared" ref="AD9:AD58" si="21">+AC9/AC$59</f>
        <v>3.3703048799913031E-2</v>
      </c>
      <c r="AE9" s="81">
        <f t="shared" si="7"/>
        <v>5.0554573199869546E-3</v>
      </c>
      <c r="AF9" s="230">
        <f t="shared" si="8"/>
        <v>6.7003841024929206E-3</v>
      </c>
      <c r="AG9" s="82">
        <v>2486351</v>
      </c>
      <c r="AH9" s="82">
        <v>747936</v>
      </c>
      <c r="AI9" s="91">
        <f t="shared" si="9"/>
        <v>0.30081673906861905</v>
      </c>
      <c r="AJ9" s="92">
        <f t="shared" ref="AJ9:AJ58" si="22">+AI9*AH9</f>
        <v>224991.66855202665</v>
      </c>
      <c r="AK9" s="230">
        <f t="shared" ref="AK9:AK58" si="23">+AJ9/AJ$59</f>
        <v>2.0636178311786543E-4</v>
      </c>
      <c r="AM9" s="93">
        <f t="shared" si="10"/>
        <v>6810217.096014943</v>
      </c>
      <c r="AN9" s="94">
        <f t="shared" si="11"/>
        <v>10127106.062891927</v>
      </c>
      <c r="AO9" s="94">
        <f t="shared" si="12"/>
        <v>340254.19758758158</v>
      </c>
      <c r="AP9" s="94">
        <f t="shared" si="13"/>
        <v>17277577.356494453</v>
      </c>
      <c r="AQ9" s="95">
        <f t="shared" ref="AQ9:AQ58" si="24">+AP9/AP$59</f>
        <v>3.1436188266203303E-3</v>
      </c>
    </row>
    <row r="10" spans="1:43" ht="14.25">
      <c r="A10" s="7" t="s">
        <v>3</v>
      </c>
      <c r="B10" s="79">
        <v>1374</v>
      </c>
      <c r="C10" s="172">
        <f t="shared" si="0"/>
        <v>2.9526429592788847E-4</v>
      </c>
      <c r="D10" s="81">
        <f t="shared" si="14"/>
        <v>2.509746515387052E-4</v>
      </c>
      <c r="E10" s="82">
        <v>696.75</v>
      </c>
      <c r="F10" s="169">
        <f t="shared" si="1"/>
        <v>1.0849400203736705E-2</v>
      </c>
      <c r="G10" s="83">
        <f t="shared" si="15"/>
        <v>1.6274100305605057E-3</v>
      </c>
      <c r="H10" s="230">
        <f t="shared" si="16"/>
        <v>1.8783846820992108E-3</v>
      </c>
      <c r="I10" s="84">
        <v>363</v>
      </c>
      <c r="J10" s="85">
        <v>91</v>
      </c>
      <c r="K10" s="85">
        <v>728</v>
      </c>
      <c r="L10" s="85">
        <v>81</v>
      </c>
      <c r="M10" s="86">
        <f t="shared" si="17"/>
        <v>2.1227523970143459E-4</v>
      </c>
      <c r="N10" s="86">
        <f t="shared" si="2"/>
        <v>2.5863147004990736E-4</v>
      </c>
      <c r="O10" s="86">
        <f t="shared" si="2"/>
        <v>5.4475034271381456E-4</v>
      </c>
      <c r="P10" s="86">
        <f t="shared" si="2"/>
        <v>5.1733387834350972E-4</v>
      </c>
      <c r="Q10" s="87">
        <f t="shared" si="18"/>
        <v>1.5329909308086662E-3</v>
      </c>
      <c r="R10" s="88">
        <v>209.00000000199</v>
      </c>
      <c r="S10" s="88">
        <v>60</v>
      </c>
      <c r="T10" s="88">
        <v>193</v>
      </c>
      <c r="U10" s="88">
        <v>19</v>
      </c>
      <c r="V10" s="89">
        <f t="shared" si="19"/>
        <v>1.6437123676789337E-4</v>
      </c>
      <c r="W10" s="89">
        <f t="shared" si="3"/>
        <v>2.0480052428934218E-4</v>
      </c>
      <c r="X10" s="89">
        <f t="shared" si="3"/>
        <v>3.9190681958478185E-4</v>
      </c>
      <c r="Y10" s="89">
        <f t="shared" si="3"/>
        <v>3.4605857496721549E-4</v>
      </c>
      <c r="Z10" s="80">
        <f t="shared" si="20"/>
        <v>1.107137155609233E-3</v>
      </c>
      <c r="AA10" s="90">
        <f t="shared" si="4"/>
        <v>9.4106658226784804E-4</v>
      </c>
      <c r="AB10" s="80">
        <f t="shared" si="5"/>
        <v>-0.27779275574369616</v>
      </c>
      <c r="AC10" s="80">
        <f t="shared" si="6"/>
        <v>-0.27779275574369616</v>
      </c>
      <c r="AD10" s="81">
        <f t="shared" si="21"/>
        <v>5.1764019470476444E-2</v>
      </c>
      <c r="AE10" s="81">
        <f t="shared" si="7"/>
        <v>7.7646029205714661E-3</v>
      </c>
      <c r="AF10" s="230">
        <f t="shared" si="8"/>
        <v>8.7056695028393145E-3</v>
      </c>
      <c r="AG10" s="82">
        <v>926161</v>
      </c>
      <c r="AH10" s="82">
        <v>261118</v>
      </c>
      <c r="AI10" s="91">
        <f t="shared" si="9"/>
        <v>0.28193586212332411</v>
      </c>
      <c r="AJ10" s="92">
        <f t="shared" si="22"/>
        <v>73618.528445918142</v>
      </c>
      <c r="AK10" s="230">
        <f t="shared" si="23"/>
        <v>6.7522726056409448E-5</v>
      </c>
      <c r="AM10" s="93">
        <f t="shared" si="10"/>
        <v>4387593.9918496879</v>
      </c>
      <c r="AN10" s="94">
        <f t="shared" si="11"/>
        <v>13157937.971188201</v>
      </c>
      <c r="AO10" s="94">
        <f t="shared" si="12"/>
        <v>111333.07062057786</v>
      </c>
      <c r="AP10" s="94">
        <f t="shared" si="13"/>
        <v>17656865.033658467</v>
      </c>
      <c r="AQ10" s="95">
        <f t="shared" si="24"/>
        <v>3.2126294209898995E-3</v>
      </c>
    </row>
    <row r="11" spans="1:43" ht="13.5" customHeight="1">
      <c r="A11" s="7" t="s">
        <v>4</v>
      </c>
      <c r="B11" s="79">
        <v>32593</v>
      </c>
      <c r="C11" s="172">
        <f t="shared" si="0"/>
        <v>7.0040387170143149E-3</v>
      </c>
      <c r="D11" s="81">
        <f t="shared" si="14"/>
        <v>5.9534329094621677E-3</v>
      </c>
      <c r="E11" s="82">
        <v>190.52</v>
      </c>
      <c r="F11" s="169">
        <f t="shared" si="1"/>
        <v>2.9666705802883636E-3</v>
      </c>
      <c r="G11" s="83">
        <f t="shared" si="15"/>
        <v>4.4500058704325453E-4</v>
      </c>
      <c r="H11" s="230">
        <f t="shared" si="16"/>
        <v>6.3984334965054221E-3</v>
      </c>
      <c r="I11" s="84">
        <v>3420</v>
      </c>
      <c r="J11" s="85">
        <v>773</v>
      </c>
      <c r="K11" s="85">
        <v>6993</v>
      </c>
      <c r="L11" s="85">
        <v>216</v>
      </c>
      <c r="M11" s="86">
        <f t="shared" si="17"/>
        <v>1.99994853933583E-3</v>
      </c>
      <c r="N11" s="86">
        <f t="shared" si="2"/>
        <v>2.196946443390971E-3</v>
      </c>
      <c r="O11" s="86">
        <f t="shared" si="2"/>
        <v>5.2327460804913531E-3</v>
      </c>
      <c r="P11" s="86">
        <f t="shared" si="2"/>
        <v>1.3795570089160259E-3</v>
      </c>
      <c r="Q11" s="87">
        <f t="shared" si="18"/>
        <v>1.080919807213418E-2</v>
      </c>
      <c r="R11" s="88">
        <v>2055.0000000045479</v>
      </c>
      <c r="S11" s="88">
        <v>629</v>
      </c>
      <c r="T11" s="88">
        <v>1238</v>
      </c>
      <c r="U11" s="88">
        <v>59</v>
      </c>
      <c r="V11" s="89">
        <f t="shared" si="19"/>
        <v>1.6161860839978574E-3</v>
      </c>
      <c r="W11" s="89">
        <f t="shared" si="3"/>
        <v>2.1469921629666037E-3</v>
      </c>
      <c r="X11" s="89">
        <f t="shared" si="3"/>
        <v>2.5138893401345074E-3</v>
      </c>
      <c r="Y11" s="89">
        <f t="shared" si="3"/>
        <v>1.074602943319248E-3</v>
      </c>
      <c r="Z11" s="80">
        <f t="shared" si="20"/>
        <v>7.3516705304182165E-3</v>
      </c>
      <c r="AA11" s="90">
        <f t="shared" si="4"/>
        <v>6.2489199508554841E-3</v>
      </c>
      <c r="AB11" s="80">
        <f t="shared" si="5"/>
        <v>-0.31986901513345156</v>
      </c>
      <c r="AC11" s="80">
        <f t="shared" si="6"/>
        <v>-0.31986901513345156</v>
      </c>
      <c r="AD11" s="81">
        <f t="shared" si="21"/>
        <v>5.9604527422043294E-2</v>
      </c>
      <c r="AE11" s="81">
        <f t="shared" si="7"/>
        <v>8.9406791133064944E-3</v>
      </c>
      <c r="AF11" s="230">
        <f t="shared" si="8"/>
        <v>1.5189599064161979E-2</v>
      </c>
      <c r="AG11" s="82">
        <v>31501914</v>
      </c>
      <c r="AH11" s="82">
        <v>10413921</v>
      </c>
      <c r="AI11" s="91">
        <f t="shared" si="9"/>
        <v>0.33058057996095097</v>
      </c>
      <c r="AJ11" s="92">
        <f t="shared" si="22"/>
        <v>3442640.0438475264</v>
      </c>
      <c r="AK11" s="230">
        <f t="shared" si="23"/>
        <v>3.1575806457787288E-3</v>
      </c>
      <c r="AM11" s="93">
        <f t="shared" si="10"/>
        <v>14945675.73620908</v>
      </c>
      <c r="AN11" s="94">
        <f t="shared" si="11"/>
        <v>22957889.939226039</v>
      </c>
      <c r="AO11" s="94">
        <f t="shared" si="12"/>
        <v>5206293.7851912091</v>
      </c>
      <c r="AP11" s="94">
        <f t="shared" si="13"/>
        <v>43109859.460626327</v>
      </c>
      <c r="AQ11" s="95">
        <f t="shared" si="24"/>
        <v>7.8437481723929673E-3</v>
      </c>
    </row>
    <row r="12" spans="1:43" ht="14.25">
      <c r="A12" s="7" t="s">
        <v>5</v>
      </c>
      <c r="B12" s="79">
        <v>18480</v>
      </c>
      <c r="C12" s="172">
        <f t="shared" si="0"/>
        <v>3.9712403120432159E-3</v>
      </c>
      <c r="D12" s="81">
        <f t="shared" si="14"/>
        <v>3.3755542652367334E-3</v>
      </c>
      <c r="E12" s="82">
        <v>4572.87</v>
      </c>
      <c r="F12" s="169">
        <f t="shared" si="1"/>
        <v>7.1206166788175776E-2</v>
      </c>
      <c r="G12" s="83">
        <f t="shared" si="15"/>
        <v>1.0680925018226366E-2</v>
      </c>
      <c r="H12" s="230">
        <f t="shared" si="16"/>
        <v>1.4056479283463099E-2</v>
      </c>
      <c r="I12" s="84">
        <v>3207</v>
      </c>
      <c r="J12" s="85">
        <v>706</v>
      </c>
      <c r="K12" s="85">
        <v>5696</v>
      </c>
      <c r="L12" s="85">
        <v>1464</v>
      </c>
      <c r="M12" s="86">
        <f t="shared" si="17"/>
        <v>1.8753903408333353E-3</v>
      </c>
      <c r="N12" s="86">
        <f t="shared" si="2"/>
        <v>2.0065254709366437E-3</v>
      </c>
      <c r="O12" s="86">
        <f t="shared" si="2"/>
        <v>4.2622224616729225E-3</v>
      </c>
      <c r="P12" s="86">
        <f t="shared" si="2"/>
        <v>9.3503308382086193E-3</v>
      </c>
      <c r="Q12" s="87">
        <f t="shared" si="18"/>
        <v>1.749446911165152E-2</v>
      </c>
      <c r="R12" s="88">
        <v>2802.0000000077798</v>
      </c>
      <c r="S12" s="88">
        <v>510</v>
      </c>
      <c r="T12" s="88">
        <v>1865</v>
      </c>
      <c r="U12" s="88">
        <v>534</v>
      </c>
      <c r="V12" s="89">
        <f t="shared" si="19"/>
        <v>2.2036756240216781E-3</v>
      </c>
      <c r="W12" s="89">
        <f t="shared" si="3"/>
        <v>1.7408044564594086E-3</v>
      </c>
      <c r="X12" s="89">
        <f t="shared" si="3"/>
        <v>3.7870788524643428E-3</v>
      </c>
      <c r="Y12" s="89">
        <f t="shared" si="3"/>
        <v>9.7260673174996357E-3</v>
      </c>
      <c r="Z12" s="80">
        <f t="shared" si="20"/>
        <v>1.7457626250445064E-2</v>
      </c>
      <c r="AA12" s="90">
        <f t="shared" si="4"/>
        <v>1.4838982312878304E-2</v>
      </c>
      <c r="AB12" s="80">
        <f t="shared" si="5"/>
        <v>-2.1059719486953626E-3</v>
      </c>
      <c r="AC12" s="80">
        <f t="shared" si="6"/>
        <v>-2.1059719486953626E-3</v>
      </c>
      <c r="AD12" s="81">
        <f t="shared" si="21"/>
        <v>3.9242770267603632E-4</v>
      </c>
      <c r="AE12" s="81">
        <f t="shared" si="7"/>
        <v>5.8864155401405446E-5</v>
      </c>
      <c r="AF12" s="230">
        <f t="shared" si="8"/>
        <v>1.4897846468279709E-2</v>
      </c>
      <c r="AG12" s="82">
        <v>10681380</v>
      </c>
      <c r="AH12" s="82">
        <v>2220524</v>
      </c>
      <c r="AI12" s="91">
        <f t="shared" si="9"/>
        <v>0.20788737035851174</v>
      </c>
      <c r="AJ12" s="92">
        <f t="shared" si="22"/>
        <v>461618.89517796389</v>
      </c>
      <c r="AK12" s="230">
        <f t="shared" si="23"/>
        <v>4.2339567035032583E-4</v>
      </c>
      <c r="AM12" s="93">
        <f t="shared" si="10"/>
        <v>32833596.141636789</v>
      </c>
      <c r="AN12" s="94">
        <f t="shared" si="11"/>
        <v>22516928.729028475</v>
      </c>
      <c r="AO12" s="94">
        <f t="shared" si="12"/>
        <v>698104.81330656027</v>
      </c>
      <c r="AP12" s="94">
        <f t="shared" si="13"/>
        <v>56048629.68397183</v>
      </c>
      <c r="AQ12" s="95">
        <f t="shared" si="24"/>
        <v>1.0197930175353837E-2</v>
      </c>
    </row>
    <row r="13" spans="1:43" ht="14.25">
      <c r="A13" s="7" t="s">
        <v>6</v>
      </c>
      <c r="B13" s="79">
        <v>523370</v>
      </c>
      <c r="C13" s="172">
        <f t="shared" si="0"/>
        <v>0.11246904989794686</v>
      </c>
      <c r="D13" s="81">
        <f t="shared" si="14"/>
        <v>9.5598692413254832E-2</v>
      </c>
      <c r="E13" s="82">
        <v>238.03</v>
      </c>
      <c r="F13" s="169">
        <f t="shared" si="1"/>
        <v>3.7064696526665922E-3</v>
      </c>
      <c r="G13" s="83">
        <f t="shared" si="15"/>
        <v>5.5597044789998883E-4</v>
      </c>
      <c r="H13" s="230">
        <f t="shared" si="16"/>
        <v>9.6154662861154816E-2</v>
      </c>
      <c r="I13" s="84">
        <v>27572</v>
      </c>
      <c r="J13" s="85">
        <v>4134</v>
      </c>
      <c r="K13" s="85">
        <v>4960</v>
      </c>
      <c r="L13" s="85">
        <v>1244</v>
      </c>
      <c r="M13" s="86">
        <f t="shared" si="17"/>
        <v>1.6123561732914474E-2</v>
      </c>
      <c r="N13" s="86">
        <f t="shared" si="2"/>
        <v>1.1749258210838649E-2</v>
      </c>
      <c r="O13" s="86">
        <f t="shared" si="2"/>
        <v>3.711485851456758E-3</v>
      </c>
      <c r="P13" s="86">
        <f t="shared" si="2"/>
        <v>7.9452264772756302E-3</v>
      </c>
      <c r="Q13" s="87">
        <f t="shared" si="18"/>
        <v>3.9529532272485512E-2</v>
      </c>
      <c r="R13" s="88">
        <v>34239.000000084088</v>
      </c>
      <c r="S13" s="88">
        <v>3826</v>
      </c>
      <c r="T13" s="88">
        <v>1071</v>
      </c>
      <c r="U13" s="88">
        <v>267</v>
      </c>
      <c r="V13" s="89">
        <f t="shared" si="19"/>
        <v>2.6927783615579601E-2</v>
      </c>
      <c r="W13" s="89">
        <f t="shared" si="3"/>
        <v>1.3059446765517053E-2</v>
      </c>
      <c r="X13" s="89">
        <f t="shared" si="3"/>
        <v>2.1747782579031156E-3</v>
      </c>
      <c r="Y13" s="89">
        <f t="shared" si="3"/>
        <v>4.8630336587498178E-3</v>
      </c>
      <c r="Z13" s="80">
        <f t="shared" si="20"/>
        <v>4.7025042297749592E-2</v>
      </c>
      <c r="AA13" s="90">
        <f t="shared" si="4"/>
        <v>3.9971285953087153E-2</v>
      </c>
      <c r="AB13" s="80">
        <f t="shared" si="5"/>
        <v>0.18961797912497236</v>
      </c>
      <c r="AC13" s="80">
        <f t="shared" si="6"/>
        <v>0</v>
      </c>
      <c r="AD13" s="81">
        <f t="shared" si="21"/>
        <v>0</v>
      </c>
      <c r="AE13" s="81">
        <f t="shared" si="7"/>
        <v>0</v>
      </c>
      <c r="AF13" s="230">
        <f t="shared" si="8"/>
        <v>3.9971285953087153E-2</v>
      </c>
      <c r="AG13" s="82">
        <v>349565615</v>
      </c>
      <c r="AH13" s="82">
        <v>141732262.94999999</v>
      </c>
      <c r="AI13" s="91">
        <f t="shared" si="9"/>
        <v>0.40545252984908137</v>
      </c>
      <c r="AJ13" s="92">
        <f t="shared" si="22"/>
        <v>57465704.574312717</v>
      </c>
      <c r="AK13" s="230">
        <f t="shared" si="23"/>
        <v>5.2707397302302596E-2</v>
      </c>
      <c r="AM13" s="93">
        <f t="shared" si="10"/>
        <v>224601289.11743984</v>
      </c>
      <c r="AN13" s="94">
        <f t="shared" si="11"/>
        <v>60413469.754142873</v>
      </c>
      <c r="AO13" s="94">
        <f t="shared" si="12"/>
        <v>86905205.533050239</v>
      </c>
      <c r="AP13" s="94">
        <f t="shared" si="13"/>
        <v>371919964.40463293</v>
      </c>
      <c r="AQ13" s="95">
        <f t="shared" si="24"/>
        <v>6.7670054543780542E-2</v>
      </c>
    </row>
    <row r="14" spans="1:43" ht="14.25">
      <c r="A14" s="7" t="s">
        <v>7</v>
      </c>
      <c r="B14" s="79">
        <v>15470</v>
      </c>
      <c r="C14" s="172">
        <f t="shared" si="0"/>
        <v>3.3244095036422377E-3</v>
      </c>
      <c r="D14" s="81">
        <f t="shared" si="14"/>
        <v>2.825748078095902E-3</v>
      </c>
      <c r="E14" s="82">
        <v>2664.8</v>
      </c>
      <c r="F14" s="169">
        <f t="shared" si="1"/>
        <v>4.149477095503061E-2</v>
      </c>
      <c r="G14" s="83">
        <f t="shared" si="15"/>
        <v>6.224215643254591E-3</v>
      </c>
      <c r="H14" s="230">
        <f t="shared" si="16"/>
        <v>9.0499637213504926E-3</v>
      </c>
      <c r="I14" s="84">
        <v>3888</v>
      </c>
      <c r="J14" s="85">
        <v>1372</v>
      </c>
      <c r="K14" s="85">
        <v>11340</v>
      </c>
      <c r="L14" s="85">
        <v>3122</v>
      </c>
      <c r="M14" s="86">
        <f t="shared" si="17"/>
        <v>2.2736257078765226E-3</v>
      </c>
      <c r="N14" s="86">
        <f t="shared" si="2"/>
        <v>3.8993667792139876E-3</v>
      </c>
      <c r="O14" s="86">
        <f t="shared" si="2"/>
        <v>8.4855341845805725E-3</v>
      </c>
      <c r="P14" s="86">
        <f t="shared" si="2"/>
        <v>1.9939708249239966E-2</v>
      </c>
      <c r="Q14" s="87">
        <f t="shared" si="18"/>
        <v>3.4598234920911047E-2</v>
      </c>
      <c r="R14" s="88">
        <v>3560.0000000065597</v>
      </c>
      <c r="S14" s="88">
        <v>1140</v>
      </c>
      <c r="T14" s="88">
        <v>7405</v>
      </c>
      <c r="U14" s="88">
        <v>920</v>
      </c>
      <c r="V14" s="89">
        <f t="shared" si="19"/>
        <v>2.7998162817665408E-3</v>
      </c>
      <c r="W14" s="89">
        <f t="shared" si="3"/>
        <v>3.8912099614975015E-3</v>
      </c>
      <c r="X14" s="89">
        <f t="shared" si="3"/>
        <v>1.5036632119302121E-2</v>
      </c>
      <c r="Y14" s="89">
        <f t="shared" si="3"/>
        <v>1.6756520472096751E-2</v>
      </c>
      <c r="Z14" s="80">
        <f t="shared" si="20"/>
        <v>3.8484178834662916E-2</v>
      </c>
      <c r="AA14" s="90">
        <f t="shared" si="4"/>
        <v>3.2711552009463477E-2</v>
      </c>
      <c r="AB14" s="80">
        <f t="shared" si="5"/>
        <v>0.11231624742229894</v>
      </c>
      <c r="AC14" s="80">
        <f t="shared" si="6"/>
        <v>0</v>
      </c>
      <c r="AD14" s="81">
        <f t="shared" si="21"/>
        <v>0</v>
      </c>
      <c r="AE14" s="81">
        <f t="shared" si="7"/>
        <v>0</v>
      </c>
      <c r="AF14" s="230">
        <f t="shared" si="8"/>
        <v>3.2711552009463477E-2</v>
      </c>
      <c r="AG14" s="82">
        <v>1225085</v>
      </c>
      <c r="AH14" s="82">
        <v>457946</v>
      </c>
      <c r="AI14" s="91">
        <f t="shared" si="9"/>
        <v>0.37380753172228864</v>
      </c>
      <c r="AJ14" s="92">
        <f t="shared" si="22"/>
        <v>171183.66392209521</v>
      </c>
      <c r="AK14" s="230">
        <f t="shared" si="23"/>
        <v>1.5700921885222747E-4</v>
      </c>
      <c r="AM14" s="93">
        <f t="shared" si="10"/>
        <v>21139209.03884257</v>
      </c>
      <c r="AN14" s="94">
        <f t="shared" si="11"/>
        <v>49440950.192450874</v>
      </c>
      <c r="AO14" s="94">
        <f t="shared" si="12"/>
        <v>258880.52025555808</v>
      </c>
      <c r="AP14" s="94">
        <f t="shared" si="13"/>
        <v>70839039.751548991</v>
      </c>
      <c r="AQ14" s="95">
        <f t="shared" si="24"/>
        <v>1.2889014149832081E-2</v>
      </c>
    </row>
    <row r="15" spans="1:43" ht="14.25">
      <c r="A15" s="7" t="s">
        <v>8</v>
      </c>
      <c r="B15" s="79">
        <v>3773</v>
      </c>
      <c r="C15" s="172">
        <f t="shared" si="0"/>
        <v>8.1079489704215658E-4</v>
      </c>
      <c r="D15" s="81">
        <f t="shared" si="14"/>
        <v>6.8917566248583311E-4</v>
      </c>
      <c r="E15" s="82">
        <v>465.62</v>
      </c>
      <c r="F15" s="169">
        <f t="shared" si="1"/>
        <v>7.2503734809671837E-3</v>
      </c>
      <c r="G15" s="83">
        <f t="shared" si="15"/>
        <v>1.0875560221450776E-3</v>
      </c>
      <c r="H15" s="230">
        <f t="shared" si="16"/>
        <v>1.7767316846309107E-3</v>
      </c>
      <c r="I15" s="84">
        <v>739</v>
      </c>
      <c r="J15" s="85">
        <v>153</v>
      </c>
      <c r="K15" s="85">
        <v>789</v>
      </c>
      <c r="L15" s="85">
        <v>57</v>
      </c>
      <c r="M15" s="86">
        <f t="shared" si="17"/>
        <v>4.3215262297344398E-4</v>
      </c>
      <c r="N15" s="86">
        <f t="shared" si="2"/>
        <v>4.3484192217182224E-4</v>
      </c>
      <c r="O15" s="86">
        <f t="shared" si="2"/>
        <v>5.9039563241923033E-4</v>
      </c>
      <c r="P15" s="86">
        <f t="shared" si="2"/>
        <v>3.6404976624172905E-4</v>
      </c>
      <c r="Q15" s="87">
        <f t="shared" si="18"/>
        <v>1.8214399438062257E-3</v>
      </c>
      <c r="R15" s="88">
        <v>518.99999999744</v>
      </c>
      <c r="S15" s="88">
        <v>104</v>
      </c>
      <c r="T15" s="88">
        <v>89</v>
      </c>
      <c r="U15" s="88">
        <v>41</v>
      </c>
      <c r="V15" s="89">
        <f t="shared" si="19"/>
        <v>4.0817546354690717E-4</v>
      </c>
      <c r="W15" s="89">
        <f t="shared" si="3"/>
        <v>3.5498757543485978E-4</v>
      </c>
      <c r="X15" s="89">
        <f t="shared" si="3"/>
        <v>1.8072387017122063E-4</v>
      </c>
      <c r="Y15" s="89">
        <f t="shared" si="3"/>
        <v>7.4675797756083341E-4</v>
      </c>
      <c r="Z15" s="80">
        <f t="shared" si="20"/>
        <v>1.6906448867138209E-3</v>
      </c>
      <c r="AA15" s="90">
        <f t="shared" si="4"/>
        <v>1.4370481537067476E-3</v>
      </c>
      <c r="AB15" s="80">
        <f t="shared" si="5"/>
        <v>-7.1808602604313709E-2</v>
      </c>
      <c r="AC15" s="80">
        <f t="shared" si="6"/>
        <v>-7.1808602604313709E-2</v>
      </c>
      <c r="AD15" s="81">
        <f t="shared" si="21"/>
        <v>1.3380845347842557E-2</v>
      </c>
      <c r="AE15" s="81">
        <f t="shared" si="7"/>
        <v>2.0071268021763836E-3</v>
      </c>
      <c r="AF15" s="230">
        <f t="shared" si="8"/>
        <v>3.4441749558831313E-3</v>
      </c>
      <c r="AG15" s="82">
        <v>4977441</v>
      </c>
      <c r="AH15" s="82">
        <v>617377</v>
      </c>
      <c r="AI15" s="91">
        <f t="shared" si="9"/>
        <v>0.12403502120868937</v>
      </c>
      <c r="AJ15" s="92">
        <f t="shared" si="22"/>
        <v>76576.369288757021</v>
      </c>
      <c r="AK15" s="230">
        <f t="shared" si="23"/>
        <v>7.0235650114599342E-5</v>
      </c>
      <c r="AM15" s="93">
        <f t="shared" si="10"/>
        <v>4150149.5081952647</v>
      </c>
      <c r="AN15" s="94">
        <f t="shared" si="11"/>
        <v>5205600.8347950447</v>
      </c>
      <c r="AO15" s="94">
        <f t="shared" si="12"/>
        <v>115806.20408835866</v>
      </c>
      <c r="AP15" s="94">
        <f t="shared" si="13"/>
        <v>9471556.5470786672</v>
      </c>
      <c r="AQ15" s="95">
        <f t="shared" si="24"/>
        <v>1.7233297738703779E-3</v>
      </c>
    </row>
    <row r="16" spans="1:43" ht="14.25">
      <c r="A16" s="7" t="s">
        <v>9</v>
      </c>
      <c r="B16" s="79">
        <v>86445</v>
      </c>
      <c r="C16" s="172">
        <f t="shared" si="0"/>
        <v>1.8576508050572284E-2</v>
      </c>
      <c r="D16" s="81">
        <f t="shared" si="14"/>
        <v>1.5790031842986441E-2</v>
      </c>
      <c r="E16" s="82">
        <v>1140.97</v>
      </c>
      <c r="F16" s="169">
        <f t="shared" si="1"/>
        <v>1.7766544887631817E-2</v>
      </c>
      <c r="G16" s="83">
        <f t="shared" si="15"/>
        <v>2.6649817331447726E-3</v>
      </c>
      <c r="H16" s="230">
        <f t="shared" si="16"/>
        <v>1.8455013576131211E-2</v>
      </c>
      <c r="I16" s="84">
        <v>6662</v>
      </c>
      <c r="J16" s="85">
        <v>2055</v>
      </c>
      <c r="K16" s="85">
        <v>14558</v>
      </c>
      <c r="L16" s="85">
        <v>683</v>
      </c>
      <c r="M16" s="86">
        <f t="shared" si="17"/>
        <v>3.895806189782251E-3</v>
      </c>
      <c r="N16" s="86">
        <f t="shared" si="2"/>
        <v>5.8405238566215344E-3</v>
      </c>
      <c r="O16" s="86">
        <f t="shared" si="2"/>
        <v>1.0893510287400703E-2</v>
      </c>
      <c r="P16" s="86">
        <f t="shared" si="2"/>
        <v>4.3622103568965081E-3</v>
      </c>
      <c r="Q16" s="87">
        <f t="shared" si="18"/>
        <v>2.4992050690700995E-2</v>
      </c>
      <c r="R16" s="88">
        <v>5056.9999999440479</v>
      </c>
      <c r="S16" s="88">
        <v>1587</v>
      </c>
      <c r="T16" s="88">
        <v>3489</v>
      </c>
      <c r="U16" s="88">
        <v>461</v>
      </c>
      <c r="V16" s="89">
        <f t="shared" si="19"/>
        <v>3.9771547575029919E-3</v>
      </c>
      <c r="W16" s="89">
        <f t="shared" si="3"/>
        <v>5.4169738674531009E-3</v>
      </c>
      <c r="X16" s="89">
        <f t="shared" si="3"/>
        <v>7.0847818317684138E-3</v>
      </c>
      <c r="Y16" s="89">
        <f t="shared" si="3"/>
        <v>8.3964738452571765E-3</v>
      </c>
      <c r="Z16" s="80">
        <f t="shared" si="20"/>
        <v>2.4875384301981683E-2</v>
      </c>
      <c r="AA16" s="90">
        <f t="shared" si="4"/>
        <v>2.114407665668443E-2</v>
      </c>
      <c r="AB16" s="80">
        <f t="shared" si="5"/>
        <v>-4.6681398882853836E-3</v>
      </c>
      <c r="AC16" s="80">
        <f t="shared" si="6"/>
        <v>-4.6681398882853836E-3</v>
      </c>
      <c r="AD16" s="81">
        <f t="shared" si="21"/>
        <v>8.6986315903450563E-4</v>
      </c>
      <c r="AE16" s="81">
        <f t="shared" si="7"/>
        <v>1.3047947385517585E-4</v>
      </c>
      <c r="AF16" s="230">
        <f t="shared" si="8"/>
        <v>2.1274556130539607E-2</v>
      </c>
      <c r="AG16" s="82">
        <v>57941949</v>
      </c>
      <c r="AH16" s="82">
        <v>22057207.130000003</v>
      </c>
      <c r="AI16" s="91">
        <f t="shared" si="9"/>
        <v>0.38067768707607685</v>
      </c>
      <c r="AJ16" s="92">
        <f t="shared" si="22"/>
        <v>8396686.5936063528</v>
      </c>
      <c r="AK16" s="230">
        <f t="shared" si="23"/>
        <v>7.7014194742851261E-3</v>
      </c>
      <c r="AM16" s="93">
        <f t="shared" si="10"/>
        <v>43107840.187264137</v>
      </c>
      <c r="AN16" s="94">
        <f t="shared" si="11"/>
        <v>32154826.212837983</v>
      </c>
      <c r="AO16" s="94">
        <f t="shared" si="12"/>
        <v>12698282.908379268</v>
      </c>
      <c r="AP16" s="94">
        <f t="shared" si="13"/>
        <v>87960949.308481395</v>
      </c>
      <c r="AQ16" s="95">
        <f t="shared" si="24"/>
        <v>1.6004309548039698E-2</v>
      </c>
    </row>
    <row r="17" spans="1:43" ht="14.25">
      <c r="A17" s="7" t="s">
        <v>10</v>
      </c>
      <c r="B17" s="79">
        <v>16092</v>
      </c>
      <c r="C17" s="172">
        <f t="shared" si="0"/>
        <v>3.4580735444480213E-3</v>
      </c>
      <c r="D17" s="81">
        <f t="shared" si="14"/>
        <v>2.9393625127808179E-3</v>
      </c>
      <c r="E17" s="82">
        <v>102.38</v>
      </c>
      <c r="F17" s="169">
        <f t="shared" si="1"/>
        <v>1.5942039366466652E-3</v>
      </c>
      <c r="G17" s="83">
        <f t="shared" si="15"/>
        <v>2.3913059049699976E-4</v>
      </c>
      <c r="H17" s="230">
        <f t="shared" si="16"/>
        <v>3.1784931032778178E-3</v>
      </c>
      <c r="I17" s="84">
        <v>981</v>
      </c>
      <c r="J17" s="85">
        <v>219</v>
      </c>
      <c r="K17" s="85">
        <v>1075</v>
      </c>
      <c r="L17" s="85">
        <v>108</v>
      </c>
      <c r="M17" s="86">
        <f t="shared" si="17"/>
        <v>5.73669449441067E-4</v>
      </c>
      <c r="N17" s="86">
        <f t="shared" si="2"/>
        <v>6.2242079055966715E-4</v>
      </c>
      <c r="O17" s="86">
        <f t="shared" si="2"/>
        <v>8.0440469562822884E-4</v>
      </c>
      <c r="P17" s="86">
        <f t="shared" si="2"/>
        <v>6.8977850445801295E-4</v>
      </c>
      <c r="Q17" s="87">
        <f t="shared" si="18"/>
        <v>2.6902734400869759E-3</v>
      </c>
      <c r="R17" s="88">
        <v>716.99999998365001</v>
      </c>
      <c r="S17" s="88">
        <v>253</v>
      </c>
      <c r="T17" s="88">
        <v>273</v>
      </c>
      <c r="U17" s="88">
        <v>153</v>
      </c>
      <c r="V17" s="89">
        <f t="shared" si="19"/>
        <v>5.6389558257784655E-4</v>
      </c>
      <c r="W17" s="89">
        <f t="shared" si="3"/>
        <v>8.6357554408672619E-4</v>
      </c>
      <c r="X17" s="89">
        <f t="shared" si="3"/>
        <v>5.5435524221059812E-4</v>
      </c>
      <c r="Y17" s="89">
        <f t="shared" si="3"/>
        <v>2.786682208946525E-3</v>
      </c>
      <c r="Z17" s="80">
        <f t="shared" si="20"/>
        <v>4.7685085778216962E-3</v>
      </c>
      <c r="AA17" s="90">
        <f t="shared" si="4"/>
        <v>4.0532322911484417E-3</v>
      </c>
      <c r="AB17" s="80">
        <f t="shared" si="5"/>
        <v>0.77249959307762084</v>
      </c>
      <c r="AC17" s="80">
        <f t="shared" si="6"/>
        <v>0</v>
      </c>
      <c r="AD17" s="81">
        <f t="shared" si="21"/>
        <v>0</v>
      </c>
      <c r="AE17" s="81">
        <f t="shared" si="7"/>
        <v>0</v>
      </c>
      <c r="AF17" s="230">
        <f t="shared" si="8"/>
        <v>4.0532322911484417E-3</v>
      </c>
      <c r="AG17" s="82">
        <v>14024645</v>
      </c>
      <c r="AH17" s="82">
        <v>4001782</v>
      </c>
      <c r="AI17" s="91">
        <f t="shared" si="9"/>
        <v>0.28533927240226042</v>
      </c>
      <c r="AJ17" s="92">
        <f t="shared" si="22"/>
        <v>1141865.5641924625</v>
      </c>
      <c r="AK17" s="230">
        <f t="shared" si="23"/>
        <v>1.0473161758572213E-3</v>
      </c>
      <c r="AM17" s="93">
        <f t="shared" si="10"/>
        <v>7424430.8825453036</v>
      </c>
      <c r="AN17" s="94">
        <f t="shared" si="11"/>
        <v>6126143.3198623238</v>
      </c>
      <c r="AO17" s="94">
        <f t="shared" si="12"/>
        <v>1726839.72610015</v>
      </c>
      <c r="AP17" s="94">
        <f t="shared" si="13"/>
        <v>15277413.928507779</v>
      </c>
      <c r="AQ17" s="95">
        <f t="shared" si="24"/>
        <v>2.7796933017160607E-3</v>
      </c>
    </row>
    <row r="18" spans="1:43" ht="14.25">
      <c r="A18" s="7" t="s">
        <v>11</v>
      </c>
      <c r="B18" s="79">
        <v>7855</v>
      </c>
      <c r="C18" s="172">
        <f t="shared" si="0"/>
        <v>1.6879920265746463E-3</v>
      </c>
      <c r="D18" s="81">
        <f t="shared" si="14"/>
        <v>1.4347932225884494E-3</v>
      </c>
      <c r="E18" s="82">
        <v>1006.89</v>
      </c>
      <c r="F18" s="169">
        <f t="shared" si="1"/>
        <v>1.5678726331023254E-2</v>
      </c>
      <c r="G18" s="83">
        <f t="shared" si="15"/>
        <v>2.3518089496534882E-3</v>
      </c>
      <c r="H18" s="230">
        <f t="shared" si="16"/>
        <v>3.7866021722419377E-3</v>
      </c>
      <c r="I18" s="84">
        <v>1343</v>
      </c>
      <c r="J18" s="85">
        <v>344</v>
      </c>
      <c r="K18" s="85">
        <v>1532</v>
      </c>
      <c r="L18" s="85">
        <v>359</v>
      </c>
      <c r="M18" s="86">
        <f t="shared" si="17"/>
        <v>7.85359908867842E-4</v>
      </c>
      <c r="N18" s="86">
        <f t="shared" si="2"/>
        <v>9.7768379886997952E-4</v>
      </c>
      <c r="O18" s="86">
        <f t="shared" si="2"/>
        <v>1.1463702266999503E-3</v>
      </c>
      <c r="P18" s="86">
        <f t="shared" si="2"/>
        <v>2.2928748435224688E-3</v>
      </c>
      <c r="Q18" s="87">
        <f t="shared" si="18"/>
        <v>5.2022887779602407E-3</v>
      </c>
      <c r="R18" s="88">
        <v>655.00000000354908</v>
      </c>
      <c r="S18" s="88">
        <v>319</v>
      </c>
      <c r="T18" s="88">
        <v>345</v>
      </c>
      <c r="U18" s="88">
        <v>110</v>
      </c>
      <c r="V18" s="89">
        <f t="shared" si="19"/>
        <v>5.1513473723697805E-4</v>
      </c>
      <c r="W18" s="89">
        <f t="shared" si="3"/>
        <v>1.0888561208050025E-3</v>
      </c>
      <c r="X18" s="89">
        <f t="shared" si="3"/>
        <v>7.0055882257383283E-4</v>
      </c>
      <c r="Y18" s="89">
        <f t="shared" si="3"/>
        <v>2.0034970129680896E-3</v>
      </c>
      <c r="Z18" s="80">
        <f t="shared" si="20"/>
        <v>4.3080466935839033E-3</v>
      </c>
      <c r="AA18" s="90">
        <f t="shared" si="4"/>
        <v>3.6618396895463177E-3</v>
      </c>
      <c r="AB18" s="80">
        <f t="shared" si="5"/>
        <v>-0.17189397254624528</v>
      </c>
      <c r="AC18" s="80">
        <f t="shared" si="6"/>
        <v>-0.17189397254624528</v>
      </c>
      <c r="AD18" s="81">
        <f t="shared" si="21"/>
        <v>3.2030795468082691E-2</v>
      </c>
      <c r="AE18" s="81">
        <f t="shared" si="7"/>
        <v>4.8046193202124039E-3</v>
      </c>
      <c r="AF18" s="230">
        <f t="shared" si="8"/>
        <v>8.4664590097587207E-3</v>
      </c>
      <c r="AG18" s="82">
        <v>4273820</v>
      </c>
      <c r="AH18" s="82">
        <v>1009815</v>
      </c>
      <c r="AI18" s="91">
        <f t="shared" si="9"/>
        <v>0.23627925368873748</v>
      </c>
      <c r="AJ18" s="92">
        <f t="shared" si="22"/>
        <v>238598.33456369245</v>
      </c>
      <c r="AK18" s="230">
        <f t="shared" si="23"/>
        <v>2.1884178239307112E-4</v>
      </c>
      <c r="AM18" s="93">
        <f t="shared" si="10"/>
        <v>8844872.4581199475</v>
      </c>
      <c r="AN18" s="94">
        <f t="shared" si="11"/>
        <v>12796390.036364203</v>
      </c>
      <c r="AO18" s="94">
        <f t="shared" si="12"/>
        <v>360831.51609647117</v>
      </c>
      <c r="AP18" s="94">
        <f t="shared" si="13"/>
        <v>22002094.010580622</v>
      </c>
      <c r="AQ18" s="95">
        <f t="shared" si="24"/>
        <v>4.0032346856043932E-3</v>
      </c>
    </row>
    <row r="19" spans="1:43" ht="14.25">
      <c r="A19" s="7" t="s">
        <v>12</v>
      </c>
      <c r="B19" s="79">
        <v>10864</v>
      </c>
      <c r="C19" s="172">
        <f t="shared" si="0"/>
        <v>2.3346079410193452E-3</v>
      </c>
      <c r="D19" s="81">
        <f t="shared" si="14"/>
        <v>1.9844167498664434E-3</v>
      </c>
      <c r="E19" s="82">
        <v>4292.05</v>
      </c>
      <c r="F19" s="169">
        <f t="shared" si="1"/>
        <v>6.6833395255756198E-2</v>
      </c>
      <c r="G19" s="83">
        <f t="shared" si="15"/>
        <v>1.002500928836343E-2</v>
      </c>
      <c r="H19" s="230">
        <f t="shared" si="16"/>
        <v>1.2009426038229874E-2</v>
      </c>
      <c r="I19" s="84">
        <v>2046</v>
      </c>
      <c r="J19" s="85">
        <v>494</v>
      </c>
      <c r="K19" s="85">
        <v>4758</v>
      </c>
      <c r="L19" s="85">
        <v>898</v>
      </c>
      <c r="M19" s="86">
        <f t="shared" si="17"/>
        <v>1.1964604419535403E-3</v>
      </c>
      <c r="N19" s="86">
        <f t="shared" si="2"/>
        <v>1.4039994088423542E-3</v>
      </c>
      <c r="O19" s="86">
        <f t="shared" si="2"/>
        <v>3.5603325970224304E-3</v>
      </c>
      <c r="P19" s="86">
        <f t="shared" si="2"/>
        <v>5.7353805278082927E-3</v>
      </c>
      <c r="Q19" s="87">
        <f t="shared" si="18"/>
        <v>1.1896172975626618E-2</v>
      </c>
      <c r="R19" s="88">
        <v>787.99999998764804</v>
      </c>
      <c r="S19" s="88">
        <v>378</v>
      </c>
      <c r="T19" s="88">
        <v>1925</v>
      </c>
      <c r="U19" s="88">
        <v>123</v>
      </c>
      <c r="V19" s="89">
        <f t="shared" si="19"/>
        <v>6.1973461516668131E-4</v>
      </c>
      <c r="W19" s="89">
        <f t="shared" si="3"/>
        <v>1.2902433030228557E-3</v>
      </c>
      <c r="X19" s="89">
        <f t="shared" si="3"/>
        <v>3.9089151694337047E-3</v>
      </c>
      <c r="Y19" s="89">
        <f t="shared" si="3"/>
        <v>2.2402739326825003E-3</v>
      </c>
      <c r="Z19" s="80">
        <f t="shared" si="20"/>
        <v>8.0591670203057422E-3</v>
      </c>
      <c r="AA19" s="90">
        <f t="shared" si="4"/>
        <v>6.8502919672598804E-3</v>
      </c>
      <c r="AB19" s="80">
        <f t="shared" si="5"/>
        <v>-0.32254120406472697</v>
      </c>
      <c r="AC19" s="80">
        <f t="shared" si="6"/>
        <v>-0.32254120406472697</v>
      </c>
      <c r="AD19" s="81">
        <f t="shared" si="21"/>
        <v>6.0102464236475396E-2</v>
      </c>
      <c r="AE19" s="81">
        <f t="shared" si="7"/>
        <v>9.0153696354713098E-3</v>
      </c>
      <c r="AF19" s="230">
        <f t="shared" si="8"/>
        <v>1.5865661602731191E-2</v>
      </c>
      <c r="AG19" s="82">
        <v>3631316</v>
      </c>
      <c r="AH19" s="82">
        <v>933397</v>
      </c>
      <c r="AI19" s="91">
        <f t="shared" si="9"/>
        <v>0.25704097357542005</v>
      </c>
      <c r="AJ19" s="92">
        <f t="shared" si="22"/>
        <v>239921.27361237636</v>
      </c>
      <c r="AK19" s="230">
        <f t="shared" si="23"/>
        <v>2.2005517870591964E-4</v>
      </c>
      <c r="AM19" s="93">
        <f t="shared" si="10"/>
        <v>28052020.45835121</v>
      </c>
      <c r="AN19" s="94">
        <f t="shared" si="11"/>
        <v>23979705.543900266</v>
      </c>
      <c r="AO19" s="94">
        <f t="shared" si="12"/>
        <v>362832.19268758298</v>
      </c>
      <c r="AP19" s="94">
        <f t="shared" si="13"/>
        <v>52394558.194939062</v>
      </c>
      <c r="AQ19" s="95">
        <f t="shared" si="24"/>
        <v>9.5330795606105509E-3</v>
      </c>
    </row>
    <row r="20" spans="1:43" ht="14.25">
      <c r="A20" s="7" t="s">
        <v>13</v>
      </c>
      <c r="B20" s="79">
        <v>24526</v>
      </c>
      <c r="C20" s="172">
        <f t="shared" si="0"/>
        <v>5.2704891717084371E-3</v>
      </c>
      <c r="D20" s="81">
        <f t="shared" si="14"/>
        <v>4.4799157959521715E-3</v>
      </c>
      <c r="E20" s="82">
        <v>146.56</v>
      </c>
      <c r="F20" s="169">
        <f t="shared" si="1"/>
        <v>2.2821501167702212E-3</v>
      </c>
      <c r="G20" s="83">
        <f t="shared" si="15"/>
        <v>3.4232251751553319E-4</v>
      </c>
      <c r="H20" s="230">
        <f t="shared" si="16"/>
        <v>4.8222383134677044E-3</v>
      </c>
      <c r="I20" s="84">
        <v>1162</v>
      </c>
      <c r="J20" s="85">
        <v>349</v>
      </c>
      <c r="K20" s="85">
        <v>489</v>
      </c>
      <c r="L20" s="85">
        <v>43</v>
      </c>
      <c r="M20" s="86">
        <f t="shared" si="17"/>
        <v>6.7951467915445456E-4</v>
      </c>
      <c r="N20" s="86">
        <f t="shared" si="2"/>
        <v>9.9189431920239184E-4</v>
      </c>
      <c r="O20" s="86">
        <f t="shared" si="2"/>
        <v>3.6591060108111993E-4</v>
      </c>
      <c r="P20" s="86">
        <f t="shared" si="2"/>
        <v>2.7463403418235698E-4</v>
      </c>
      <c r="Q20" s="87">
        <f t="shared" si="18"/>
        <v>2.3119536336203231E-3</v>
      </c>
      <c r="R20" s="88">
        <v>2032.9999999577099</v>
      </c>
      <c r="S20" s="88">
        <v>358</v>
      </c>
      <c r="T20" s="88">
        <v>131</v>
      </c>
      <c r="U20" s="88">
        <v>31</v>
      </c>
      <c r="V20" s="89">
        <f t="shared" si="19"/>
        <v>1.5988838485119338E-3</v>
      </c>
      <c r="W20" s="89">
        <f t="shared" si="3"/>
        <v>1.221976461593075E-3</v>
      </c>
      <c r="X20" s="89">
        <f t="shared" si="3"/>
        <v>2.6600929204977422E-4</v>
      </c>
      <c r="Y20" s="89">
        <f t="shared" si="3"/>
        <v>5.6462188547282534E-4</v>
      </c>
      <c r="Z20" s="80">
        <f t="shared" si="20"/>
        <v>3.6514914876276086E-3</v>
      </c>
      <c r="AA20" s="90">
        <f t="shared" si="4"/>
        <v>3.1037677644834673E-3</v>
      </c>
      <c r="AB20" s="80">
        <f t="shared" si="5"/>
        <v>0.57939650455259473</v>
      </c>
      <c r="AC20" s="80">
        <f t="shared" si="6"/>
        <v>0</v>
      </c>
      <c r="AD20" s="81">
        <f t="shared" si="21"/>
        <v>0</v>
      </c>
      <c r="AE20" s="81">
        <f t="shared" si="7"/>
        <v>0</v>
      </c>
      <c r="AF20" s="230">
        <f t="shared" si="8"/>
        <v>3.1037677644834673E-3</v>
      </c>
      <c r="AG20" s="82">
        <v>31275695</v>
      </c>
      <c r="AH20" s="82">
        <v>12162147</v>
      </c>
      <c r="AI20" s="91">
        <f t="shared" si="9"/>
        <v>0.38886896038601221</v>
      </c>
      <c r="AJ20" s="92">
        <f t="shared" si="22"/>
        <v>4729481.4599518571</v>
      </c>
      <c r="AK20" s="230">
        <f t="shared" si="23"/>
        <v>4.3378683023227857E-3</v>
      </c>
      <c r="AM20" s="93">
        <f t="shared" si="10"/>
        <v>11263946.119808044</v>
      </c>
      <c r="AN20" s="94">
        <f t="shared" si="11"/>
        <v>4691102.0121688992</v>
      </c>
      <c r="AO20" s="94">
        <f t="shared" si="12"/>
        <v>7152380.0393042052</v>
      </c>
      <c r="AP20" s="94">
        <f t="shared" si="13"/>
        <v>23107428.171281148</v>
      </c>
      <c r="AQ20" s="95">
        <f t="shared" si="24"/>
        <v>4.2043479091535638E-3</v>
      </c>
    </row>
    <row r="21" spans="1:43" ht="14.25">
      <c r="A21" s="7" t="s">
        <v>14</v>
      </c>
      <c r="B21" s="79">
        <v>35445</v>
      </c>
      <c r="C21" s="172">
        <f t="shared" si="0"/>
        <v>7.6169162803231489E-3</v>
      </c>
      <c r="D21" s="81">
        <f t="shared" si="14"/>
        <v>6.4743788382746765E-3</v>
      </c>
      <c r="E21" s="82">
        <v>5091.18</v>
      </c>
      <c r="F21" s="169">
        <f t="shared" si="1"/>
        <v>7.9276999396139566E-2</v>
      </c>
      <c r="G21" s="83">
        <f t="shared" si="15"/>
        <v>1.1891549909420934E-2</v>
      </c>
      <c r="H21" s="230">
        <f t="shared" si="16"/>
        <v>1.836592874769561E-2</v>
      </c>
      <c r="I21" s="84">
        <v>7369</v>
      </c>
      <c r="J21" s="85">
        <v>3474</v>
      </c>
      <c r="K21" s="85">
        <v>27910</v>
      </c>
      <c r="L21" s="85">
        <v>2988</v>
      </c>
      <c r="M21" s="86">
        <f t="shared" si="17"/>
        <v>4.3092458439665882E-3</v>
      </c>
      <c r="N21" s="86">
        <f t="shared" si="2"/>
        <v>9.8734695269601987E-3</v>
      </c>
      <c r="O21" s="86">
        <f t="shared" si="2"/>
        <v>2.08845907488222E-2</v>
      </c>
      <c r="P21" s="86">
        <f t="shared" si="2"/>
        <v>1.9083871956671692E-2</v>
      </c>
      <c r="Q21" s="87">
        <f t="shared" si="18"/>
        <v>5.4151178076420683E-2</v>
      </c>
      <c r="R21" s="88">
        <v>7387.0000000238397</v>
      </c>
      <c r="S21" s="88">
        <v>3170</v>
      </c>
      <c r="T21" s="88">
        <v>23798</v>
      </c>
      <c r="U21" s="88">
        <v>1385</v>
      </c>
      <c r="V21" s="89">
        <f t="shared" si="19"/>
        <v>5.8096187846736159E-3</v>
      </c>
      <c r="W21" s="89">
        <f t="shared" si="3"/>
        <v>1.0820294366620246E-2</v>
      </c>
      <c r="X21" s="89">
        <f t="shared" si="3"/>
        <v>4.8324344520614702E-2</v>
      </c>
      <c r="Y21" s="89">
        <f t="shared" si="3"/>
        <v>2.522584875418913E-2</v>
      </c>
      <c r="Z21" s="80">
        <f t="shared" si="20"/>
        <v>9.0180106426097695E-2</v>
      </c>
      <c r="AA21" s="90">
        <f t="shared" si="4"/>
        <v>7.6653090462183035E-2</v>
      </c>
      <c r="AB21" s="80">
        <f t="shared" si="5"/>
        <v>0.66533969582030694</v>
      </c>
      <c r="AC21" s="80">
        <f t="shared" si="6"/>
        <v>0</v>
      </c>
      <c r="AD21" s="81">
        <f t="shared" si="21"/>
        <v>0</v>
      </c>
      <c r="AE21" s="81">
        <f t="shared" si="7"/>
        <v>0</v>
      </c>
      <c r="AF21" s="230">
        <f t="shared" si="8"/>
        <v>7.6653090462183035E-2</v>
      </c>
      <c r="AG21" s="82">
        <v>5180132</v>
      </c>
      <c r="AH21" s="82">
        <v>665188</v>
      </c>
      <c r="AI21" s="91">
        <f t="shared" si="9"/>
        <v>0.12841139955506925</v>
      </c>
      <c r="AJ21" s="92">
        <f t="shared" si="22"/>
        <v>85417.722047237403</v>
      </c>
      <c r="AK21" s="230">
        <f t="shared" si="23"/>
        <v>7.8344916258346221E-5</v>
      </c>
      <c r="AM21" s="93">
        <f t="shared" si="10"/>
        <v>42899752.854709767</v>
      </c>
      <c r="AN21" s="94">
        <f t="shared" si="11"/>
        <v>115855145.80726193</v>
      </c>
      <c r="AO21" s="94">
        <f t="shared" si="12"/>
        <v>129176.95424895786</v>
      </c>
      <c r="AP21" s="94">
        <f t="shared" si="13"/>
        <v>158884075.61622065</v>
      </c>
      <c r="AQ21" s="95">
        <f t="shared" si="24"/>
        <v>2.8908623069748476E-2</v>
      </c>
    </row>
    <row r="22" spans="1:43" ht="14.25">
      <c r="A22" s="7" t="s">
        <v>15</v>
      </c>
      <c r="B22" s="79">
        <v>1716</v>
      </c>
      <c r="C22" s="172">
        <f t="shared" si="0"/>
        <v>3.6875802897544147E-4</v>
      </c>
      <c r="D22" s="81">
        <f t="shared" si="14"/>
        <v>3.1344432462912525E-4</v>
      </c>
      <c r="E22" s="82">
        <v>720.74</v>
      </c>
      <c r="F22" s="169">
        <f t="shared" si="1"/>
        <v>1.1222959028117967E-2</v>
      </c>
      <c r="G22" s="83">
        <f t="shared" si="15"/>
        <v>1.683443854217695E-3</v>
      </c>
      <c r="H22" s="230">
        <f t="shared" si="16"/>
        <v>1.9968881788468202E-3</v>
      </c>
      <c r="I22" s="84">
        <v>381</v>
      </c>
      <c r="J22" s="85">
        <v>111</v>
      </c>
      <c r="K22" s="85">
        <v>881</v>
      </c>
      <c r="L22" s="85">
        <v>100</v>
      </c>
      <c r="M22" s="86">
        <f t="shared" si="17"/>
        <v>2.2280128464530736E-4</v>
      </c>
      <c r="N22" s="86">
        <f t="shared" si="2"/>
        <v>3.1547355137955733E-4</v>
      </c>
      <c r="O22" s="86">
        <f t="shared" si="2"/>
        <v>6.5923770869625079E-4</v>
      </c>
      <c r="P22" s="86">
        <f t="shared" si="2"/>
        <v>6.3868380042408609E-4</v>
      </c>
      <c r="Q22" s="87">
        <f t="shared" si="18"/>
        <v>1.8361963451452015E-3</v>
      </c>
      <c r="R22" s="88">
        <v>157.99999999728001</v>
      </c>
      <c r="S22" s="88">
        <v>83</v>
      </c>
      <c r="T22" s="88">
        <v>189</v>
      </c>
      <c r="U22" s="88">
        <v>25</v>
      </c>
      <c r="V22" s="89">
        <f t="shared" si="19"/>
        <v>1.2426150913221427E-4</v>
      </c>
      <c r="W22" s="89">
        <f t="shared" si="3"/>
        <v>2.8330739193359002E-4</v>
      </c>
      <c r="X22" s="89">
        <f t="shared" si="3"/>
        <v>3.8378439845349104E-4</v>
      </c>
      <c r="Y22" s="89">
        <f t="shared" si="3"/>
        <v>4.5534023022002039E-4</v>
      </c>
      <c r="Z22" s="80">
        <f t="shared" si="20"/>
        <v>1.2466935297393157E-3</v>
      </c>
      <c r="AA22" s="90">
        <f t="shared" si="4"/>
        <v>1.0596895002784182E-3</v>
      </c>
      <c r="AB22" s="80">
        <f t="shared" si="5"/>
        <v>-0.32104563162022282</v>
      </c>
      <c r="AC22" s="80">
        <f t="shared" si="6"/>
        <v>-0.32104563162022282</v>
      </c>
      <c r="AD22" s="81">
        <f t="shared" si="21"/>
        <v>5.982377863529921E-2</v>
      </c>
      <c r="AE22" s="81">
        <f t="shared" si="7"/>
        <v>8.9735667952948808E-3</v>
      </c>
      <c r="AF22" s="230">
        <f t="shared" si="8"/>
        <v>1.0033256295573299E-2</v>
      </c>
      <c r="AG22" s="82">
        <v>1217466</v>
      </c>
      <c r="AH22" s="82">
        <v>288600</v>
      </c>
      <c r="AI22" s="91">
        <f t="shared" si="9"/>
        <v>0.23704974101946175</v>
      </c>
      <c r="AJ22" s="92">
        <f t="shared" si="22"/>
        <v>68412.555258216657</v>
      </c>
      <c r="AK22" s="230">
        <f t="shared" si="23"/>
        <v>6.274782075972974E-5</v>
      </c>
      <c r="AM22" s="93">
        <f t="shared" si="10"/>
        <v>4664398.4373384146</v>
      </c>
      <c r="AN22" s="94">
        <f t="shared" si="11"/>
        <v>15164481.484523417</v>
      </c>
      <c r="AO22" s="94">
        <f t="shared" si="12"/>
        <v>103460.09362972439</v>
      </c>
      <c r="AP22" s="94">
        <f t="shared" si="13"/>
        <v>19932340.015491556</v>
      </c>
      <c r="AQ22" s="95">
        <f t="shared" si="24"/>
        <v>3.626647303520475E-3</v>
      </c>
    </row>
    <row r="23" spans="1:43" ht="14.25">
      <c r="A23" s="7" t="s">
        <v>16</v>
      </c>
      <c r="B23" s="79">
        <v>3345</v>
      </c>
      <c r="C23" s="172">
        <f t="shared" si="0"/>
        <v>7.1882028375457561E-4</v>
      </c>
      <c r="D23" s="81">
        <f t="shared" si="14"/>
        <v>6.1099724119138929E-4</v>
      </c>
      <c r="E23" s="82">
        <v>615.78</v>
      </c>
      <c r="F23" s="169">
        <f t="shared" si="1"/>
        <v>9.5885807785532663E-3</v>
      </c>
      <c r="G23" s="83">
        <f t="shared" si="15"/>
        <v>1.4382871167829899E-3</v>
      </c>
      <c r="H23" s="230">
        <f t="shared" si="16"/>
        <v>2.049284357974379E-3</v>
      </c>
      <c r="I23" s="84">
        <v>519</v>
      </c>
      <c r="J23" s="85">
        <v>176</v>
      </c>
      <c r="K23" s="85">
        <v>1034</v>
      </c>
      <c r="L23" s="85">
        <v>145</v>
      </c>
      <c r="M23" s="86">
        <f t="shared" si="17"/>
        <v>3.0350096254833211E-4</v>
      </c>
      <c r="N23" s="86">
        <f t="shared" si="2"/>
        <v>5.0021031570091968E-4</v>
      </c>
      <c r="O23" s="86">
        <f t="shared" si="2"/>
        <v>7.7372507467868713E-4</v>
      </c>
      <c r="P23" s="86">
        <f t="shared" si="2"/>
        <v>9.2609151061492478E-4</v>
      </c>
      <c r="Q23" s="87">
        <f t="shared" si="18"/>
        <v>2.5035278635428637E-3</v>
      </c>
      <c r="R23" s="88">
        <v>277.00000000287605</v>
      </c>
      <c r="S23" s="88">
        <v>136</v>
      </c>
      <c r="T23" s="88">
        <v>317</v>
      </c>
      <c r="U23" s="88">
        <v>84</v>
      </c>
      <c r="V23" s="89">
        <f t="shared" si="19"/>
        <v>2.1785087361122336E-4</v>
      </c>
      <c r="W23" s="89">
        <f t="shared" si="3"/>
        <v>4.6421452172250896E-4</v>
      </c>
      <c r="X23" s="89">
        <f t="shared" si="3"/>
        <v>6.4370187465479715E-4</v>
      </c>
      <c r="Y23" s="89">
        <f t="shared" si="3"/>
        <v>1.5299431735392686E-3</v>
      </c>
      <c r="Z23" s="80">
        <f t="shared" si="20"/>
        <v>2.8557104435277978E-3</v>
      </c>
      <c r="AA23" s="90">
        <f t="shared" si="4"/>
        <v>2.4273538769986279E-3</v>
      </c>
      <c r="AB23" s="80">
        <f t="shared" si="5"/>
        <v>0.14067451979006276</v>
      </c>
      <c r="AC23" s="80">
        <f t="shared" si="6"/>
        <v>0</v>
      </c>
      <c r="AD23" s="81">
        <f t="shared" si="21"/>
        <v>0</v>
      </c>
      <c r="AE23" s="81">
        <f t="shared" si="7"/>
        <v>0</v>
      </c>
      <c r="AF23" s="230">
        <f t="shared" si="8"/>
        <v>2.4273538769986279E-3</v>
      </c>
      <c r="AG23" s="82">
        <v>1622662</v>
      </c>
      <c r="AH23" s="82">
        <v>540876</v>
      </c>
      <c r="AI23" s="91">
        <f t="shared" si="9"/>
        <v>0.33332634892540774</v>
      </c>
      <c r="AJ23" s="92">
        <f t="shared" si="22"/>
        <v>180288.22230137885</v>
      </c>
      <c r="AK23" s="230">
        <f t="shared" si="23"/>
        <v>1.6535989651838832E-4</v>
      </c>
      <c r="AM23" s="93">
        <f t="shared" si="10"/>
        <v>4786787.1913177315</v>
      </c>
      <c r="AN23" s="94">
        <f t="shared" si="11"/>
        <v>3668755.3711123983</v>
      </c>
      <c r="AO23" s="94">
        <f t="shared" si="12"/>
        <v>272649.31545437273</v>
      </c>
      <c r="AP23" s="94">
        <f t="shared" si="13"/>
        <v>8728191.8778845035</v>
      </c>
      <c r="AQ23" s="95">
        <f t="shared" si="24"/>
        <v>1.5880761372692506E-3</v>
      </c>
    </row>
    <row r="24" spans="1:43" ht="14.25">
      <c r="A24" s="7" t="s">
        <v>17</v>
      </c>
      <c r="B24" s="79">
        <v>39991</v>
      </c>
      <c r="C24" s="172">
        <f t="shared" si="0"/>
        <v>8.5938242055692785E-3</v>
      </c>
      <c r="D24" s="81">
        <f t="shared" si="14"/>
        <v>7.3047505747338868E-3</v>
      </c>
      <c r="E24" s="82">
        <v>7010.79</v>
      </c>
      <c r="F24" s="169">
        <f t="shared" si="1"/>
        <v>0.1091680896366778</v>
      </c>
      <c r="G24" s="83">
        <f t="shared" si="15"/>
        <v>1.637521344550167E-2</v>
      </c>
      <c r="H24" s="230">
        <f t="shared" si="16"/>
        <v>2.3679964020235558E-2</v>
      </c>
      <c r="I24" s="84">
        <v>6824</v>
      </c>
      <c r="J24" s="85">
        <v>2866</v>
      </c>
      <c r="K24" s="85">
        <v>26645</v>
      </c>
      <c r="L24" s="85">
        <v>2369</v>
      </c>
      <c r="M24" s="86">
        <f t="shared" si="17"/>
        <v>3.9905405942771066E-3</v>
      </c>
      <c r="N24" s="86">
        <f t="shared" si="17"/>
        <v>8.1454702545388398E-3</v>
      </c>
      <c r="O24" s="86">
        <f t="shared" si="17"/>
        <v>1.9938012200013171E-2</v>
      </c>
      <c r="P24" s="86">
        <f t="shared" si="17"/>
        <v>1.5130419232046598E-2</v>
      </c>
      <c r="Q24" s="87">
        <f t="shared" si="18"/>
        <v>4.7204442280875711E-2</v>
      </c>
      <c r="R24" s="88">
        <v>7532.9999999958</v>
      </c>
      <c r="S24" s="88">
        <v>2466</v>
      </c>
      <c r="T24" s="88">
        <v>13627</v>
      </c>
      <c r="U24" s="88">
        <v>715</v>
      </c>
      <c r="V24" s="89">
        <f t="shared" si="19"/>
        <v>5.9244427108136877E-3</v>
      </c>
      <c r="W24" s="89">
        <f t="shared" si="3"/>
        <v>8.4173015482919642E-3</v>
      </c>
      <c r="X24" s="89">
        <f t="shared" si="3"/>
        <v>2.7671058189024985E-2</v>
      </c>
      <c r="Y24" s="89">
        <f t="shared" si="3"/>
        <v>1.3022730584292583E-2</v>
      </c>
      <c r="Z24" s="80">
        <f t="shared" si="20"/>
        <v>5.5035533032423221E-2</v>
      </c>
      <c r="AA24" s="90">
        <f t="shared" si="4"/>
        <v>4.6780203077559736E-2</v>
      </c>
      <c r="AB24" s="80">
        <f t="shared" si="5"/>
        <v>0.16589732603874402</v>
      </c>
      <c r="AC24" s="80">
        <f t="shared" si="6"/>
        <v>0</v>
      </c>
      <c r="AD24" s="81">
        <f t="shared" si="21"/>
        <v>0</v>
      </c>
      <c r="AE24" s="81">
        <f t="shared" si="7"/>
        <v>0</v>
      </c>
      <c r="AF24" s="230">
        <f t="shared" si="8"/>
        <v>4.6780203077559736E-2</v>
      </c>
      <c r="AG24" s="82">
        <v>8786595</v>
      </c>
      <c r="AH24" s="82">
        <v>802881</v>
      </c>
      <c r="AI24" s="91">
        <f t="shared" si="9"/>
        <v>9.1375669414602581E-2</v>
      </c>
      <c r="AJ24" s="92">
        <f t="shared" si="22"/>
        <v>73363.788835265528</v>
      </c>
      <c r="AK24" s="230">
        <f t="shared" si="23"/>
        <v>6.7289079536859018E-5</v>
      </c>
      <c r="AM24" s="93">
        <f t="shared" si="10"/>
        <v>55312454.819579244</v>
      </c>
      <c r="AN24" s="94">
        <f t="shared" si="11"/>
        <v>70704614.983760372</v>
      </c>
      <c r="AO24" s="94">
        <f t="shared" si="12"/>
        <v>110947.82870306954</v>
      </c>
      <c r="AP24" s="94">
        <f t="shared" si="13"/>
        <v>126128017.63204269</v>
      </c>
      <c r="AQ24" s="95">
        <f t="shared" si="24"/>
        <v>2.2948727278790097E-2</v>
      </c>
    </row>
    <row r="25" spans="1:43" ht="14.25">
      <c r="A25" s="7" t="s">
        <v>18</v>
      </c>
      <c r="B25" s="79">
        <v>143668</v>
      </c>
      <c r="C25" s="172">
        <f t="shared" si="0"/>
        <v>3.0873384910748092E-2</v>
      </c>
      <c r="D25" s="81">
        <f t="shared" si="14"/>
        <v>2.6242377174135877E-2</v>
      </c>
      <c r="E25" s="82">
        <v>1040.01</v>
      </c>
      <c r="F25" s="169">
        <f t="shared" si="1"/>
        <v>1.6194452394529189E-2</v>
      </c>
      <c r="G25" s="83">
        <f t="shared" si="15"/>
        <v>2.4291678591793781E-3</v>
      </c>
      <c r="H25" s="230">
        <f t="shared" si="16"/>
        <v>2.8671545033315253E-2</v>
      </c>
      <c r="I25" s="84">
        <v>3671</v>
      </c>
      <c r="J25" s="85">
        <v>1263</v>
      </c>
      <c r="K25" s="85">
        <v>9334</v>
      </c>
      <c r="L25" s="85">
        <v>932</v>
      </c>
      <c r="M25" s="86">
        <f t="shared" si="17"/>
        <v>2.1467283882753894E-3</v>
      </c>
      <c r="N25" s="86">
        <f t="shared" si="17"/>
        <v>3.5895774359673955E-3</v>
      </c>
      <c r="O25" s="86">
        <f t="shared" si="17"/>
        <v>6.9844776083664078E-3</v>
      </c>
      <c r="P25" s="86">
        <f t="shared" si="17"/>
        <v>5.9525330199524818E-3</v>
      </c>
      <c r="Q25" s="87">
        <f t="shared" si="18"/>
        <v>1.8673316452561674E-2</v>
      </c>
      <c r="R25" s="88">
        <v>8688.9999999445354</v>
      </c>
      <c r="S25" s="88">
        <v>1809</v>
      </c>
      <c r="T25" s="88">
        <v>2369</v>
      </c>
      <c r="U25" s="88">
        <v>783</v>
      </c>
      <c r="V25" s="89">
        <f t="shared" si="19"/>
        <v>6.8335965370981333E-3</v>
      </c>
      <c r="W25" s="89">
        <f t="shared" si="3"/>
        <v>6.1747358073236669E-3</v>
      </c>
      <c r="X25" s="89">
        <f t="shared" si="3"/>
        <v>4.8105039150069849E-3</v>
      </c>
      <c r="Y25" s="89">
        <f t="shared" si="3"/>
        <v>1.4261256010491039E-2</v>
      </c>
      <c r="Z25" s="80">
        <f t="shared" si="20"/>
        <v>3.2080092269919827E-2</v>
      </c>
      <c r="AA25" s="90">
        <f t="shared" si="4"/>
        <v>2.7268078429431852E-2</v>
      </c>
      <c r="AB25" s="80">
        <f t="shared" si="5"/>
        <v>0.71796436650217865</v>
      </c>
      <c r="AC25" s="80">
        <f t="shared" si="6"/>
        <v>0</v>
      </c>
      <c r="AD25" s="81">
        <f t="shared" si="21"/>
        <v>0</v>
      </c>
      <c r="AE25" s="81">
        <f t="shared" si="7"/>
        <v>0</v>
      </c>
      <c r="AF25" s="230">
        <f t="shared" si="8"/>
        <v>2.7268078429431852E-2</v>
      </c>
      <c r="AG25" s="82">
        <v>229242090</v>
      </c>
      <c r="AH25" s="82">
        <v>54578683.010000005</v>
      </c>
      <c r="AI25" s="91">
        <f t="shared" si="9"/>
        <v>0.23808316792958922</v>
      </c>
      <c r="AJ25" s="92">
        <f t="shared" si="22"/>
        <v>12994265.752445649</v>
      </c>
      <c r="AK25" s="230">
        <f t="shared" si="23"/>
        <v>1.1918307323286623E-2</v>
      </c>
      <c r="AM25" s="93">
        <f t="shared" si="10"/>
        <v>66971957.301437058</v>
      </c>
      <c r="AN25" s="94">
        <f t="shared" si="11"/>
        <v>41213565.992936097</v>
      </c>
      <c r="AO25" s="94">
        <f t="shared" si="12"/>
        <v>19651187.50970906</v>
      </c>
      <c r="AP25" s="94">
        <f t="shared" si="13"/>
        <v>127836710.80408221</v>
      </c>
      <c r="AQ25" s="95">
        <f t="shared" si="24"/>
        <v>2.3259620404238731E-2</v>
      </c>
    </row>
    <row r="26" spans="1:43" ht="14.25">
      <c r="A26" s="7" t="s">
        <v>19</v>
      </c>
      <c r="B26" s="79">
        <v>5527</v>
      </c>
      <c r="C26" s="172">
        <f t="shared" si="0"/>
        <v>1.1877188963562151E-3</v>
      </c>
      <c r="D26" s="81">
        <f t="shared" si="14"/>
        <v>1.0095610619027828E-3</v>
      </c>
      <c r="E26" s="82">
        <v>1894.8</v>
      </c>
      <c r="F26" s="169">
        <f t="shared" si="1"/>
        <v>2.9504762836082252E-2</v>
      </c>
      <c r="G26" s="83">
        <f t="shared" si="15"/>
        <v>4.425714425412338E-3</v>
      </c>
      <c r="H26" s="230">
        <f t="shared" si="16"/>
        <v>5.4352754873151204E-3</v>
      </c>
      <c r="I26" s="84">
        <v>814</v>
      </c>
      <c r="J26" s="85">
        <v>270</v>
      </c>
      <c r="K26" s="85">
        <v>1738</v>
      </c>
      <c r="L26" s="85">
        <v>531</v>
      </c>
      <c r="M26" s="86">
        <f t="shared" si="17"/>
        <v>4.760111435729139E-4</v>
      </c>
      <c r="N26" s="86">
        <f t="shared" si="17"/>
        <v>7.6736809795027456E-4</v>
      </c>
      <c r="O26" s="86">
        <f t="shared" si="17"/>
        <v>1.3005166148854527E-3</v>
      </c>
      <c r="P26" s="86">
        <f t="shared" si="17"/>
        <v>3.3914109802518971E-3</v>
      </c>
      <c r="Q26" s="87">
        <f t="shared" si="18"/>
        <v>5.9353068366605382E-3</v>
      </c>
      <c r="R26" s="88">
        <v>320.00000000721394</v>
      </c>
      <c r="S26" s="88">
        <v>216</v>
      </c>
      <c r="T26" s="88">
        <v>671</v>
      </c>
      <c r="U26" s="88">
        <v>199</v>
      </c>
      <c r="V26" s="89">
        <f t="shared" si="19"/>
        <v>2.5166887926512352E-4</v>
      </c>
      <c r="W26" s="89">
        <f t="shared" si="3"/>
        <v>7.372818874416319E-4</v>
      </c>
      <c r="X26" s="89">
        <f t="shared" si="3"/>
        <v>1.3625361447740343E-3</v>
      </c>
      <c r="Y26" s="89">
        <f t="shared" si="3"/>
        <v>3.6245082325513625E-3</v>
      </c>
      <c r="Z26" s="80">
        <f t="shared" si="20"/>
        <v>5.9759951440321521E-3</v>
      </c>
      <c r="AA26" s="90">
        <f t="shared" si="4"/>
        <v>5.0795958724273293E-3</v>
      </c>
      <c r="AB26" s="80">
        <f t="shared" si="5"/>
        <v>6.8552997328284624E-3</v>
      </c>
      <c r="AC26" s="80">
        <f t="shared" si="6"/>
        <v>0</v>
      </c>
      <c r="AD26" s="81">
        <f t="shared" si="21"/>
        <v>0</v>
      </c>
      <c r="AE26" s="81">
        <f t="shared" si="7"/>
        <v>0</v>
      </c>
      <c r="AF26" s="230">
        <f t="shared" si="8"/>
        <v>5.0795958724273293E-3</v>
      </c>
      <c r="AG26" s="82">
        <v>4284299</v>
      </c>
      <c r="AH26" s="82">
        <v>945887</v>
      </c>
      <c r="AI26" s="91">
        <f t="shared" si="9"/>
        <v>0.22077987554089945</v>
      </c>
      <c r="AJ26" s="92">
        <f t="shared" si="22"/>
        <v>208832.81413575477</v>
      </c>
      <c r="AK26" s="230">
        <f t="shared" si="23"/>
        <v>1.9154092316360993E-4</v>
      </c>
      <c r="AM26" s="93">
        <f t="shared" si="10"/>
        <v>12695898.928189905</v>
      </c>
      <c r="AN26" s="94">
        <f t="shared" si="11"/>
        <v>7677411.5289242053</v>
      </c>
      <c r="AO26" s="94">
        <f t="shared" si="12"/>
        <v>315817.21252619138</v>
      </c>
      <c r="AP26" s="94">
        <f t="shared" si="13"/>
        <v>20689127.669640303</v>
      </c>
      <c r="AQ26" s="95">
        <f t="shared" si="24"/>
        <v>3.764343223975525E-3</v>
      </c>
    </row>
    <row r="27" spans="1:43" ht="14.25">
      <c r="A27" s="7" t="s">
        <v>20</v>
      </c>
      <c r="B27" s="79">
        <v>357937</v>
      </c>
      <c r="C27" s="172">
        <f t="shared" si="0"/>
        <v>7.6918498028777746E-2</v>
      </c>
      <c r="D27" s="81">
        <f t="shared" si="14"/>
        <v>6.5380723324461085E-2</v>
      </c>
      <c r="E27" s="82">
        <v>151.27000000000001</v>
      </c>
      <c r="F27" s="169">
        <f t="shared" si="1"/>
        <v>2.3554915950043079E-3</v>
      </c>
      <c r="G27" s="83">
        <f t="shared" si="15"/>
        <v>3.5332373925064616E-4</v>
      </c>
      <c r="H27" s="230">
        <f t="shared" si="16"/>
        <v>6.5734047063711734E-2</v>
      </c>
      <c r="I27" s="84">
        <v>25525</v>
      </c>
      <c r="J27" s="85">
        <v>4815</v>
      </c>
      <c r="K27" s="85">
        <v>33044</v>
      </c>
      <c r="L27" s="85">
        <v>5258</v>
      </c>
      <c r="M27" s="86">
        <f t="shared" si="17"/>
        <v>1.4926516510686275E-2</v>
      </c>
      <c r="N27" s="86">
        <f t="shared" si="17"/>
        <v>1.3684731080113229E-2</v>
      </c>
      <c r="O27" s="86">
        <f t="shared" si="17"/>
        <v>2.4726277918455063E-2</v>
      </c>
      <c r="P27" s="86">
        <f t="shared" si="17"/>
        <v>3.3581994226298442E-2</v>
      </c>
      <c r="Q27" s="87">
        <f t="shared" si="18"/>
        <v>8.6919519735553008E-2</v>
      </c>
      <c r="R27" s="88">
        <v>20136.00000070727</v>
      </c>
      <c r="S27" s="88">
        <v>4791</v>
      </c>
      <c r="T27" s="88">
        <v>5994</v>
      </c>
      <c r="U27" s="88">
        <v>875</v>
      </c>
      <c r="V27" s="89">
        <f t="shared" si="19"/>
        <v>1.5836264227957138E-2</v>
      </c>
      <c r="W27" s="89">
        <f t="shared" si="3"/>
        <v>1.6353321864503972E-2</v>
      </c>
      <c r="X27" s="89">
        <f t="shared" si="3"/>
        <v>1.2171448065239286E-2</v>
      </c>
      <c r="Y27" s="89">
        <f t="shared" si="3"/>
        <v>1.5936908057700715E-2</v>
      </c>
      <c r="Z27" s="80">
        <f t="shared" si="20"/>
        <v>6.0297942215401121E-2</v>
      </c>
      <c r="AA27" s="90">
        <f t="shared" si="4"/>
        <v>5.1253250883090955E-2</v>
      </c>
      <c r="AB27" s="80">
        <f t="shared" si="5"/>
        <v>-0.30627847002774872</v>
      </c>
      <c r="AC27" s="80">
        <f t="shared" si="6"/>
        <v>-0.30627847002774872</v>
      </c>
      <c r="AD27" s="81">
        <f t="shared" si="21"/>
        <v>5.7072059505151061E-2</v>
      </c>
      <c r="AE27" s="81">
        <f t="shared" si="7"/>
        <v>8.5608089257726595E-3</v>
      </c>
      <c r="AF27" s="230">
        <f t="shared" si="8"/>
        <v>5.9814059808863618E-2</v>
      </c>
      <c r="AG27" s="82">
        <v>264462530</v>
      </c>
      <c r="AH27" s="82">
        <v>100887430</v>
      </c>
      <c r="AI27" s="91">
        <f t="shared" si="9"/>
        <v>0.3814809984612943</v>
      </c>
      <c r="AJ27" s="92">
        <f t="shared" si="22"/>
        <v>38486637.528593935</v>
      </c>
      <c r="AK27" s="230">
        <f t="shared" si="23"/>
        <v>3.529984553528065E-2</v>
      </c>
      <c r="AM27" s="93">
        <f t="shared" si="10"/>
        <v>153543793.61440781</v>
      </c>
      <c r="AN27" s="94">
        <f t="shared" si="11"/>
        <v>90404269.139011353</v>
      </c>
      <c r="AO27" s="94">
        <f t="shared" si="12"/>
        <v>58203221.721108817</v>
      </c>
      <c r="AP27" s="94">
        <f t="shared" si="13"/>
        <v>302151284.47452796</v>
      </c>
      <c r="AQ27" s="95">
        <f t="shared" si="24"/>
        <v>5.4975790110099176E-2</v>
      </c>
    </row>
    <row r="28" spans="1:43" ht="14.25">
      <c r="A28" s="7" t="s">
        <v>21</v>
      </c>
      <c r="B28" s="79">
        <v>14437</v>
      </c>
      <c r="C28" s="172">
        <f t="shared" si="0"/>
        <v>3.1024240468056226E-3</v>
      </c>
      <c r="D28" s="81">
        <f t="shared" si="14"/>
        <v>2.637060439784779E-3</v>
      </c>
      <c r="E28" s="82">
        <v>2479.16</v>
      </c>
      <c r="F28" s="169">
        <f t="shared" si="1"/>
        <v>3.8604088997625963E-2</v>
      </c>
      <c r="G28" s="83">
        <f t="shared" si="15"/>
        <v>5.7906133496438946E-3</v>
      </c>
      <c r="H28" s="230">
        <f t="shared" si="16"/>
        <v>8.4276737894286736E-3</v>
      </c>
      <c r="I28" s="84">
        <v>3166</v>
      </c>
      <c r="J28" s="85">
        <v>724</v>
      </c>
      <c r="K28" s="85">
        <v>6502</v>
      </c>
      <c r="L28" s="85">
        <v>971</v>
      </c>
      <c r="M28" s="86">
        <f t="shared" si="17"/>
        <v>1.8514143495722917E-3</v>
      </c>
      <c r="N28" s="86">
        <f t="shared" si="17"/>
        <v>2.0576833441333289E-3</v>
      </c>
      <c r="O28" s="86">
        <f t="shared" si="17"/>
        <v>4.8653389125346454E-3</v>
      </c>
      <c r="P28" s="86">
        <f t="shared" si="17"/>
        <v>6.2016197021178754E-3</v>
      </c>
      <c r="Q28" s="87">
        <f t="shared" si="18"/>
        <v>1.4976056308358143E-2</v>
      </c>
      <c r="R28" s="88">
        <v>1684.0000000044001</v>
      </c>
      <c r="S28" s="88">
        <v>572</v>
      </c>
      <c r="T28" s="88">
        <v>3480</v>
      </c>
      <c r="U28" s="88">
        <v>459</v>
      </c>
      <c r="V28" s="89">
        <f t="shared" si="19"/>
        <v>1.3244074771063164E-3</v>
      </c>
      <c r="W28" s="89">
        <f t="shared" si="3"/>
        <v>1.9524316648917288E-3</v>
      </c>
      <c r="X28" s="89">
        <f t="shared" si="3"/>
        <v>7.0665063842230095E-3</v>
      </c>
      <c r="Y28" s="89">
        <f t="shared" si="3"/>
        <v>8.3600466268395745E-3</v>
      </c>
      <c r="Z28" s="80">
        <f t="shared" si="20"/>
        <v>1.8703392153060629E-2</v>
      </c>
      <c r="AA28" s="90">
        <f t="shared" si="4"/>
        <v>1.5897883330101534E-2</v>
      </c>
      <c r="AB28" s="80">
        <f t="shared" si="5"/>
        <v>0.24888634016568562</v>
      </c>
      <c r="AC28" s="80">
        <f t="shared" si="6"/>
        <v>0</v>
      </c>
      <c r="AD28" s="81">
        <f t="shared" si="21"/>
        <v>0</v>
      </c>
      <c r="AE28" s="81">
        <f t="shared" si="7"/>
        <v>0</v>
      </c>
      <c r="AF28" s="230">
        <f t="shared" si="8"/>
        <v>1.5897883330101534E-2</v>
      </c>
      <c r="AG28" s="82">
        <v>11471540</v>
      </c>
      <c r="AH28" s="82">
        <v>3532121</v>
      </c>
      <c r="AI28" s="91">
        <f t="shared" si="9"/>
        <v>0.30790294938604579</v>
      </c>
      <c r="AJ28" s="92">
        <f t="shared" si="22"/>
        <v>1087550.4734883895</v>
      </c>
      <c r="AK28" s="230">
        <f t="shared" si="23"/>
        <v>9.9749851354094207E-4</v>
      </c>
      <c r="AM28" s="93">
        <f t="shared" si="10"/>
        <v>19685643.327564843</v>
      </c>
      <c r="AN28" s="94">
        <f t="shared" si="11"/>
        <v>24028406.162494302</v>
      </c>
      <c r="AO28" s="94">
        <f t="shared" si="12"/>
        <v>1644699.1840820906</v>
      </c>
      <c r="AP28" s="94">
        <f t="shared" si="13"/>
        <v>45358748.674141236</v>
      </c>
      <c r="AQ28" s="95">
        <f t="shared" si="24"/>
        <v>8.2529288303473912E-3</v>
      </c>
    </row>
    <row r="29" spans="1:43" ht="14.25">
      <c r="A29" s="7" t="s">
        <v>22</v>
      </c>
      <c r="B29" s="79">
        <v>1277</v>
      </c>
      <c r="C29" s="172">
        <f t="shared" si="0"/>
        <v>2.7441958216878717E-4</v>
      </c>
      <c r="D29" s="81">
        <f t="shared" si="14"/>
        <v>2.3325664484346909E-4</v>
      </c>
      <c r="E29" s="82">
        <v>388.05</v>
      </c>
      <c r="F29" s="169">
        <f t="shared" si="1"/>
        <v>6.0424969487765032E-3</v>
      </c>
      <c r="G29" s="83">
        <f t="shared" si="15"/>
        <v>9.0637454231647541E-4</v>
      </c>
      <c r="H29" s="230">
        <f t="shared" si="16"/>
        <v>1.1396311871599446E-3</v>
      </c>
      <c r="I29" s="84">
        <v>248</v>
      </c>
      <c r="J29" s="85">
        <v>63</v>
      </c>
      <c r="K29" s="85">
        <v>357</v>
      </c>
      <c r="L29" s="85">
        <v>74</v>
      </c>
      <c r="M29" s="86">
        <f t="shared" si="17"/>
        <v>1.4502550811558066E-4</v>
      </c>
      <c r="N29" s="86">
        <f t="shared" si="17"/>
        <v>1.7905255618839739E-4</v>
      </c>
      <c r="O29" s="86">
        <f t="shared" si="17"/>
        <v>2.6713718729235136E-4</v>
      </c>
      <c r="P29" s="86">
        <f t="shared" si="17"/>
        <v>4.7262601231382365E-4</v>
      </c>
      <c r="Q29" s="87">
        <f t="shared" si="18"/>
        <v>1.0638412639101531E-3</v>
      </c>
      <c r="R29" s="88">
        <v>138</v>
      </c>
      <c r="S29" s="88">
        <v>45</v>
      </c>
      <c r="T29" s="88">
        <v>165</v>
      </c>
      <c r="U29" s="88">
        <v>30</v>
      </c>
      <c r="V29" s="89">
        <f t="shared" si="19"/>
        <v>1.0853220418063782E-4</v>
      </c>
      <c r="W29" s="89">
        <f t="shared" si="3"/>
        <v>1.5360039321700664E-4</v>
      </c>
      <c r="X29" s="89">
        <f t="shared" si="3"/>
        <v>3.3504987166574612E-4</v>
      </c>
      <c r="Y29" s="89">
        <f t="shared" si="3"/>
        <v>5.4640827626402453E-4</v>
      </c>
      <c r="Z29" s="80">
        <f t="shared" si="20"/>
        <v>1.1435907453274151E-3</v>
      </c>
      <c r="AA29" s="90">
        <f t="shared" si="4"/>
        <v>9.7205213352830283E-4</v>
      </c>
      <c r="AB29" s="80">
        <f t="shared" si="5"/>
        <v>7.4963703818126448E-2</v>
      </c>
      <c r="AC29" s="80">
        <f t="shared" si="6"/>
        <v>0</v>
      </c>
      <c r="AD29" s="81">
        <f t="shared" si="21"/>
        <v>0</v>
      </c>
      <c r="AE29" s="81">
        <f t="shared" si="7"/>
        <v>0</v>
      </c>
      <c r="AF29" s="230">
        <f t="shared" si="8"/>
        <v>9.7205213352830283E-4</v>
      </c>
      <c r="AG29" s="82">
        <v>927926</v>
      </c>
      <c r="AH29" s="82">
        <v>199978</v>
      </c>
      <c r="AI29" s="91">
        <f t="shared" si="9"/>
        <v>0.21551071960479606</v>
      </c>
      <c r="AJ29" s="92">
        <f t="shared" si="22"/>
        <v>43097.402685127905</v>
      </c>
      <c r="AK29" s="230">
        <f t="shared" si="23"/>
        <v>3.9528827547652609E-5</v>
      </c>
      <c r="AM29" s="93">
        <f t="shared" si="10"/>
        <v>2661988.7807642384</v>
      </c>
      <c r="AN29" s="94">
        <f t="shared" si="11"/>
        <v>1469180.7073028779</v>
      </c>
      <c r="AO29" s="94">
        <f t="shared" si="12"/>
        <v>65176.067465565669</v>
      </c>
      <c r="AP29" s="94">
        <f t="shared" si="13"/>
        <v>4196345.5555326827</v>
      </c>
      <c r="AQ29" s="95">
        <f t="shared" si="24"/>
        <v>7.6351623952755567E-4</v>
      </c>
    </row>
    <row r="30" spans="1:43" ht="14.25">
      <c r="A30" s="7" t="s">
        <v>23</v>
      </c>
      <c r="B30" s="79">
        <v>5942</v>
      </c>
      <c r="C30" s="172">
        <f t="shared" si="0"/>
        <v>1.2768998882121639E-3</v>
      </c>
      <c r="D30" s="81">
        <f t="shared" si="14"/>
        <v>1.0853649049803393E-3</v>
      </c>
      <c r="E30" s="82">
        <v>1314.52</v>
      </c>
      <c r="F30" s="169">
        <f t="shared" si="1"/>
        <v>2.0468968146129852E-2</v>
      </c>
      <c r="G30" s="83">
        <f t="shared" si="15"/>
        <v>3.0703452219194775E-3</v>
      </c>
      <c r="H30" s="230">
        <f t="shared" si="16"/>
        <v>4.155710126899817E-3</v>
      </c>
      <c r="I30" s="84">
        <v>1391</v>
      </c>
      <c r="J30" s="85">
        <v>407</v>
      </c>
      <c r="K30" s="85">
        <v>3581</v>
      </c>
      <c r="L30" s="85">
        <v>1264</v>
      </c>
      <c r="M30" s="86">
        <f t="shared" si="17"/>
        <v>8.1342936205150277E-4</v>
      </c>
      <c r="N30" s="86">
        <f t="shared" si="17"/>
        <v>1.1567363550583768E-3</v>
      </c>
      <c r="O30" s="86">
        <f t="shared" si="17"/>
        <v>2.6796029907392442E-3</v>
      </c>
      <c r="P30" s="86">
        <f t="shared" si="17"/>
        <v>8.072963237360448E-3</v>
      </c>
      <c r="Q30" s="87">
        <f t="shared" si="18"/>
        <v>1.2722731945209571E-2</v>
      </c>
      <c r="R30" s="88">
        <v>1108.99999999377</v>
      </c>
      <c r="S30" s="88">
        <v>288</v>
      </c>
      <c r="T30" s="88">
        <v>3319</v>
      </c>
      <c r="U30" s="88">
        <v>607</v>
      </c>
      <c r="V30" s="89">
        <f t="shared" si="19"/>
        <v>8.721899596786318E-4</v>
      </c>
      <c r="W30" s="89">
        <f t="shared" si="3"/>
        <v>9.8304251658884239E-4</v>
      </c>
      <c r="X30" s="89">
        <f t="shared" si="3"/>
        <v>6.739578933688554E-3</v>
      </c>
      <c r="Y30" s="89">
        <f t="shared" si="3"/>
        <v>1.1055660789742095E-2</v>
      </c>
      <c r="Z30" s="80">
        <f t="shared" si="20"/>
        <v>1.9650472199698121E-2</v>
      </c>
      <c r="AA30" s="90">
        <f t="shared" si="4"/>
        <v>1.6702901369743402E-2</v>
      </c>
      <c r="AB30" s="80">
        <f t="shared" si="5"/>
        <v>0.54451671891877107</v>
      </c>
      <c r="AC30" s="80">
        <f t="shared" si="6"/>
        <v>0</v>
      </c>
      <c r="AD30" s="81">
        <f t="shared" si="21"/>
        <v>0</v>
      </c>
      <c r="AE30" s="81">
        <f t="shared" si="7"/>
        <v>0</v>
      </c>
      <c r="AF30" s="230">
        <f t="shared" si="8"/>
        <v>1.6702901369743402E-2</v>
      </c>
      <c r="AG30" s="82">
        <v>900863</v>
      </c>
      <c r="AH30" s="82">
        <v>170611</v>
      </c>
      <c r="AI30" s="91">
        <f t="shared" si="9"/>
        <v>0.18938617747648642</v>
      </c>
      <c r="AJ30" s="92">
        <f t="shared" si="22"/>
        <v>32311.365125440825</v>
      </c>
      <c r="AK30" s="230">
        <f t="shared" si="23"/>
        <v>2.9635901476576337E-5</v>
      </c>
      <c r="AM30" s="93">
        <f t="shared" si="10"/>
        <v>9707047.2083904576</v>
      </c>
      <c r="AN30" s="94">
        <f t="shared" si="11"/>
        <v>25245127.912365526</v>
      </c>
      <c r="AO30" s="94">
        <f t="shared" si="12"/>
        <v>48864.376554343326</v>
      </c>
      <c r="AP30" s="94">
        <f t="shared" si="13"/>
        <v>35001039.497310326</v>
      </c>
      <c r="AQ30" s="95">
        <f t="shared" si="24"/>
        <v>6.3683654510548306E-3</v>
      </c>
    </row>
    <row r="31" spans="1:43" ht="14.25">
      <c r="A31" s="7" t="s">
        <v>24</v>
      </c>
      <c r="B31" s="79">
        <v>55213</v>
      </c>
      <c r="C31" s="172">
        <f t="shared" si="0"/>
        <v>1.1864940008054225E-2</v>
      </c>
      <c r="D31" s="81">
        <f t="shared" si="14"/>
        <v>1.0085199006846091E-2</v>
      </c>
      <c r="E31" s="82">
        <v>184.87</v>
      </c>
      <c r="F31" s="169">
        <f t="shared" si="1"/>
        <v>2.8786919492856905E-3</v>
      </c>
      <c r="G31" s="83">
        <f t="shared" si="15"/>
        <v>4.3180379239285356E-4</v>
      </c>
      <c r="H31" s="230">
        <f t="shared" si="16"/>
        <v>1.0517002799238945E-2</v>
      </c>
      <c r="I31" s="84">
        <v>870</v>
      </c>
      <c r="J31" s="85">
        <v>295</v>
      </c>
      <c r="K31" s="85">
        <v>1873</v>
      </c>
      <c r="L31" s="85">
        <v>57</v>
      </c>
      <c r="M31" s="86">
        <f t="shared" si="17"/>
        <v>5.0875883895385148E-4</v>
      </c>
      <c r="N31" s="86">
        <f t="shared" si="17"/>
        <v>8.3842069961233702E-4</v>
      </c>
      <c r="O31" s="86">
        <f t="shared" si="17"/>
        <v>1.4015348789876024E-3</v>
      </c>
      <c r="P31" s="86">
        <f t="shared" si="17"/>
        <v>3.6404976624172905E-4</v>
      </c>
      <c r="Q31" s="87">
        <f t="shared" si="18"/>
        <v>3.1127641837955201E-3</v>
      </c>
      <c r="R31" s="88">
        <v>2629.9999999954803</v>
      </c>
      <c r="S31" s="88">
        <v>513</v>
      </c>
      <c r="T31" s="88">
        <v>350</v>
      </c>
      <c r="U31" s="88">
        <v>123</v>
      </c>
      <c r="V31" s="89">
        <f t="shared" si="19"/>
        <v>2.0684036014100501E-3</v>
      </c>
      <c r="W31" s="89">
        <f t="shared" si="3"/>
        <v>1.7510444826738757E-3</v>
      </c>
      <c r="X31" s="89">
        <f t="shared" si="3"/>
        <v>7.1071184898794629E-4</v>
      </c>
      <c r="Y31" s="89">
        <f t="shared" si="3"/>
        <v>2.2402739326825003E-3</v>
      </c>
      <c r="Z31" s="80">
        <f t="shared" si="20"/>
        <v>6.770433865754372E-3</v>
      </c>
      <c r="AA31" s="90">
        <f t="shared" si="4"/>
        <v>5.7548687858912165E-3</v>
      </c>
      <c r="AB31" s="80">
        <f t="shared" si="5"/>
        <v>1.1750551811794834</v>
      </c>
      <c r="AC31" s="80">
        <f t="shared" si="6"/>
        <v>0</v>
      </c>
      <c r="AD31" s="81">
        <f t="shared" si="21"/>
        <v>0</v>
      </c>
      <c r="AE31" s="81">
        <f t="shared" si="7"/>
        <v>0</v>
      </c>
      <c r="AF31" s="230">
        <f t="shared" si="8"/>
        <v>5.7548687858912165E-3</v>
      </c>
      <c r="AG31" s="82">
        <v>54110961</v>
      </c>
      <c r="AH31" s="82">
        <v>4256091</v>
      </c>
      <c r="AI31" s="91">
        <f t="shared" si="9"/>
        <v>7.8654877336220286E-2</v>
      </c>
      <c r="AJ31" s="92">
        <f t="shared" si="22"/>
        <v>334762.31553679111</v>
      </c>
      <c r="AK31" s="230">
        <f t="shared" si="23"/>
        <v>3.07043139861258E-4</v>
      </c>
      <c r="AM31" s="93">
        <f t="shared" si="10"/>
        <v>24565968.160812512</v>
      </c>
      <c r="AN31" s="94">
        <f t="shared" si="11"/>
        <v>8698033.6770638172</v>
      </c>
      <c r="AO31" s="94">
        <f t="shared" si="12"/>
        <v>506260.0041529655</v>
      </c>
      <c r="AP31" s="94">
        <f t="shared" si="13"/>
        <v>33770261.842029296</v>
      </c>
      <c r="AQ31" s="95">
        <f t="shared" si="24"/>
        <v>6.1444280477550139E-3</v>
      </c>
    </row>
    <row r="32" spans="1:43" ht="14.25">
      <c r="A32" s="7" t="s">
        <v>25</v>
      </c>
      <c r="B32" s="79">
        <v>678006</v>
      </c>
      <c r="C32" s="172">
        <f t="shared" si="0"/>
        <v>0.14569939172116736</v>
      </c>
      <c r="D32" s="81">
        <f t="shared" si="14"/>
        <v>0.12384448296299225</v>
      </c>
      <c r="E32" s="82">
        <v>117.79</v>
      </c>
      <c r="F32" s="169">
        <f t="shared" si="1"/>
        <v>1.8341598134167874E-3</v>
      </c>
      <c r="G32" s="83">
        <f t="shared" si="15"/>
        <v>2.7512397201251811E-4</v>
      </c>
      <c r="H32" s="230">
        <f t="shared" si="16"/>
        <v>0.12411960693500476</v>
      </c>
      <c r="I32" s="84">
        <v>69698</v>
      </c>
      <c r="J32" s="85">
        <v>12447</v>
      </c>
      <c r="K32" s="85">
        <v>14729</v>
      </c>
      <c r="L32" s="85">
        <v>1417</v>
      </c>
      <c r="M32" s="86">
        <f t="shared" si="17"/>
        <v>4.0758015583224762E-2</v>
      </c>
      <c r="N32" s="86">
        <f t="shared" si="17"/>
        <v>3.5375669315507653E-2</v>
      </c>
      <c r="O32" s="86">
        <f t="shared" si="17"/>
        <v>1.1021466755263425E-2</v>
      </c>
      <c r="P32" s="86">
        <f t="shared" si="17"/>
        <v>9.0501494520092984E-3</v>
      </c>
      <c r="Q32" s="87">
        <f t="shared" si="18"/>
        <v>9.6205301106005142E-2</v>
      </c>
      <c r="R32" s="88">
        <v>32769.999999791457</v>
      </c>
      <c r="S32" s="88">
        <v>9468</v>
      </c>
      <c r="T32" s="88">
        <v>3881</v>
      </c>
      <c r="U32" s="88">
        <v>299</v>
      </c>
      <c r="V32" s="89">
        <f t="shared" si="19"/>
        <v>2.5772466166499041E-2</v>
      </c>
      <c r="W32" s="89">
        <f t="shared" si="3"/>
        <v>3.2317522732858199E-2</v>
      </c>
      <c r="X32" s="89">
        <f t="shared" si="3"/>
        <v>7.8807791026349137E-3</v>
      </c>
      <c r="Y32" s="89">
        <f t="shared" si="3"/>
        <v>5.4458691534314436E-3</v>
      </c>
      <c r="Z32" s="80">
        <f t="shared" si="20"/>
        <v>7.1416637155423596E-2</v>
      </c>
      <c r="AA32" s="90">
        <f t="shared" si="4"/>
        <v>6.0704141582110058E-2</v>
      </c>
      <c r="AB32" s="80">
        <f t="shared" si="5"/>
        <v>-0.25766422084441909</v>
      </c>
      <c r="AC32" s="80">
        <f t="shared" si="6"/>
        <v>-0.25766422084441909</v>
      </c>
      <c r="AD32" s="81">
        <f t="shared" si="21"/>
        <v>4.80132597732017E-2</v>
      </c>
      <c r="AE32" s="81">
        <f t="shared" si="7"/>
        <v>7.2019889659802544E-3</v>
      </c>
      <c r="AF32" s="230">
        <f t="shared" si="8"/>
        <v>6.7906130548090318E-2</v>
      </c>
      <c r="AG32" s="82">
        <v>397751929</v>
      </c>
      <c r="AH32" s="82">
        <v>168647682.93000001</v>
      </c>
      <c r="AI32" s="91">
        <f t="shared" si="9"/>
        <v>0.42400217480780594</v>
      </c>
      <c r="AJ32" s="92">
        <f t="shared" si="22"/>
        <v>71506984.338617295</v>
      </c>
      <c r="AK32" s="230">
        <f t="shared" si="23"/>
        <v>6.5586023200170734E-2</v>
      </c>
      <c r="AM32" s="93">
        <f t="shared" si="10"/>
        <v>289922744.17940992</v>
      </c>
      <c r="AN32" s="94">
        <f t="shared" si="11"/>
        <v>102634800.61168967</v>
      </c>
      <c r="AO32" s="94">
        <f t="shared" si="12"/>
        <v>108139789.06253518</v>
      </c>
      <c r="AP32" s="94">
        <f t="shared" si="13"/>
        <v>500697333.85363477</v>
      </c>
      <c r="AQ32" s="95">
        <f t="shared" si="24"/>
        <v>9.1100825808153083E-2</v>
      </c>
    </row>
    <row r="33" spans="1:43" ht="14.25">
      <c r="A33" s="7" t="s">
        <v>26</v>
      </c>
      <c r="B33" s="79">
        <v>2030</v>
      </c>
      <c r="C33" s="172">
        <f t="shared" si="0"/>
        <v>4.3623473124717146E-4</v>
      </c>
      <c r="D33" s="81">
        <f t="shared" si="14"/>
        <v>3.7079952156009573E-4</v>
      </c>
      <c r="E33" s="82">
        <v>497.27</v>
      </c>
      <c r="F33" s="169">
        <f t="shared" si="1"/>
        <v>7.743209528973307E-3</v>
      </c>
      <c r="G33" s="83">
        <f t="shared" si="15"/>
        <v>1.1614814293459961E-3</v>
      </c>
      <c r="H33" s="230">
        <f t="shared" si="16"/>
        <v>1.5322809509060917E-3</v>
      </c>
      <c r="I33" s="84">
        <v>525</v>
      </c>
      <c r="J33" s="85">
        <v>111</v>
      </c>
      <c r="K33" s="85">
        <v>654</v>
      </c>
      <c r="L33" s="85">
        <v>69</v>
      </c>
      <c r="M33" s="86">
        <f t="shared" si="17"/>
        <v>3.070096441962897E-4</v>
      </c>
      <c r="N33" s="86">
        <f t="shared" si="17"/>
        <v>3.1547355137955733E-4</v>
      </c>
      <c r="O33" s="86">
        <f t="shared" si="17"/>
        <v>4.8937736831708065E-4</v>
      </c>
      <c r="P33" s="86">
        <f t="shared" si="17"/>
        <v>4.4069182229261936E-4</v>
      </c>
      <c r="Q33" s="87">
        <f t="shared" si="18"/>
        <v>1.5525523861855471E-3</v>
      </c>
      <c r="R33" s="88">
        <v>374.99999999594002</v>
      </c>
      <c r="S33" s="88">
        <v>98</v>
      </c>
      <c r="T33" s="88">
        <v>163</v>
      </c>
      <c r="U33" s="88">
        <v>24</v>
      </c>
      <c r="V33" s="89">
        <f t="shared" si="19"/>
        <v>2.9492446787897499E-4</v>
      </c>
      <c r="W33" s="89">
        <f t="shared" si="3"/>
        <v>3.3450752300592557E-4</v>
      </c>
      <c r="X33" s="89">
        <f t="shared" si="3"/>
        <v>3.3098866110010071E-4</v>
      </c>
      <c r="Y33" s="89">
        <f t="shared" si="3"/>
        <v>4.3712662101121958E-4</v>
      </c>
      <c r="Z33" s="80">
        <f t="shared" si="20"/>
        <v>1.397547272996221E-3</v>
      </c>
      <c r="AA33" s="90">
        <f t="shared" si="4"/>
        <v>1.1879151820467877E-3</v>
      </c>
      <c r="AB33" s="80">
        <f t="shared" si="5"/>
        <v>-9.983889404862975E-2</v>
      </c>
      <c r="AC33" s="80">
        <f t="shared" si="6"/>
        <v>-9.983889404862975E-2</v>
      </c>
      <c r="AD33" s="81">
        <f t="shared" si="21"/>
        <v>1.8604021698148197E-2</v>
      </c>
      <c r="AE33" s="81">
        <f t="shared" si="7"/>
        <v>2.7906032547222294E-3</v>
      </c>
      <c r="AF33" s="230">
        <f t="shared" si="8"/>
        <v>3.9785184367690171E-3</v>
      </c>
      <c r="AG33" s="82">
        <v>739202</v>
      </c>
      <c r="AH33" s="82">
        <v>182717</v>
      </c>
      <c r="AI33" s="91">
        <f t="shared" si="9"/>
        <v>0.24718141996369059</v>
      </c>
      <c r="AJ33" s="92">
        <f t="shared" si="22"/>
        <v>45164.247511505651</v>
      </c>
      <c r="AK33" s="230">
        <f t="shared" si="23"/>
        <v>4.1424532337719623E-5</v>
      </c>
      <c r="AM33" s="93">
        <f t="shared" si="10"/>
        <v>3579153.2789268158</v>
      </c>
      <c r="AN33" s="94">
        <f t="shared" si="11"/>
        <v>6013219.1775901839</v>
      </c>
      <c r="AO33" s="94">
        <f t="shared" si="12"/>
        <v>68301.75044068697</v>
      </c>
      <c r="AP33" s="94">
        <f t="shared" si="13"/>
        <v>9660674.2069576867</v>
      </c>
      <c r="AQ33" s="95">
        <f t="shared" si="24"/>
        <v>1.7577393339478847E-3</v>
      </c>
    </row>
    <row r="34" spans="1:43" ht="14.25">
      <c r="A34" s="7" t="s">
        <v>27</v>
      </c>
      <c r="B34" s="79">
        <v>16604</v>
      </c>
      <c r="C34" s="172">
        <f t="shared" si="0"/>
        <v>3.5680992500630713E-3</v>
      </c>
      <c r="D34" s="81">
        <f t="shared" si="14"/>
        <v>3.0328843625536104E-3</v>
      </c>
      <c r="E34" s="82">
        <v>170.12</v>
      </c>
      <c r="F34" s="169">
        <f t="shared" si="1"/>
        <v>2.6490132223318096E-3</v>
      </c>
      <c r="G34" s="83">
        <f t="shared" si="15"/>
        <v>3.9735198334977145E-4</v>
      </c>
      <c r="H34" s="230">
        <f t="shared" si="16"/>
        <v>3.430236345903382E-3</v>
      </c>
      <c r="I34" s="84">
        <v>1777</v>
      </c>
      <c r="J34" s="85">
        <v>482</v>
      </c>
      <c r="K34" s="85">
        <v>1571</v>
      </c>
      <c r="L34" s="85">
        <v>193</v>
      </c>
      <c r="M34" s="86">
        <f t="shared" si="17"/>
        <v>1.0391545480701082E-3</v>
      </c>
      <c r="N34" s="86">
        <f t="shared" si="17"/>
        <v>1.3698941600445642E-3</v>
      </c>
      <c r="O34" s="86">
        <f t="shared" si="17"/>
        <v>1.1755532807739047E-3</v>
      </c>
      <c r="P34" s="86">
        <f t="shared" si="17"/>
        <v>1.2326597348184861E-3</v>
      </c>
      <c r="Q34" s="87">
        <f t="shared" si="18"/>
        <v>4.8172617237070628E-3</v>
      </c>
      <c r="R34" s="88">
        <v>887.9999999826681</v>
      </c>
      <c r="S34" s="88">
        <v>349</v>
      </c>
      <c r="T34" s="88">
        <v>145</v>
      </c>
      <c r="U34" s="88">
        <v>79</v>
      </c>
      <c r="V34" s="89">
        <f t="shared" si="19"/>
        <v>6.9838113993134286E-4</v>
      </c>
      <c r="W34" s="89">
        <f t="shared" si="3"/>
        <v>1.1912563829496736E-3</v>
      </c>
      <c r="X34" s="89">
        <f t="shared" si="3"/>
        <v>2.9443776600929206E-4</v>
      </c>
      <c r="Y34" s="89">
        <f t="shared" si="3"/>
        <v>1.4388751274952644E-3</v>
      </c>
      <c r="Z34" s="80">
        <f t="shared" si="20"/>
        <v>3.6229504163855729E-3</v>
      </c>
      <c r="AA34" s="90">
        <f t="shared" si="4"/>
        <v>3.0795078539277371E-3</v>
      </c>
      <c r="AB34" s="80">
        <f t="shared" si="5"/>
        <v>-0.24792327588180588</v>
      </c>
      <c r="AC34" s="80">
        <f t="shared" si="6"/>
        <v>-0.24792327588180588</v>
      </c>
      <c r="AD34" s="81">
        <f t="shared" si="21"/>
        <v>4.6198127973397771E-2</v>
      </c>
      <c r="AE34" s="81">
        <f t="shared" si="7"/>
        <v>6.9297191960096651E-3</v>
      </c>
      <c r="AF34" s="230">
        <f t="shared" si="8"/>
        <v>1.0009227049937402E-2</v>
      </c>
      <c r="AG34" s="82">
        <v>1957239</v>
      </c>
      <c r="AH34" s="82">
        <v>525469</v>
      </c>
      <c r="AI34" s="91">
        <f t="shared" si="9"/>
        <v>0.26847462164814823</v>
      </c>
      <c r="AJ34" s="92">
        <f t="shared" si="22"/>
        <v>141075.09096283081</v>
      </c>
      <c r="AK34" s="230">
        <f t="shared" si="23"/>
        <v>1.2939371271817964E-4</v>
      </c>
      <c r="AM34" s="93">
        <f t="shared" si="10"/>
        <v>8012461.1988904541</v>
      </c>
      <c r="AN34" s="94">
        <f t="shared" si="11"/>
        <v>15128163.160761131</v>
      </c>
      <c r="AO34" s="94">
        <f t="shared" si="12"/>
        <v>213347.41941368076</v>
      </c>
      <c r="AP34" s="94">
        <f t="shared" si="13"/>
        <v>23353971.779065266</v>
      </c>
      <c r="AQ34" s="95">
        <f t="shared" si="24"/>
        <v>4.2492059995571773E-3</v>
      </c>
    </row>
    <row r="35" spans="1:43" ht="14.25">
      <c r="A35" s="7" t="s">
        <v>28</v>
      </c>
      <c r="B35" s="79">
        <v>1594</v>
      </c>
      <c r="C35" s="172">
        <f t="shared" si="0"/>
        <v>3.425409663093553E-4</v>
      </c>
      <c r="D35" s="81">
        <f t="shared" si="14"/>
        <v>2.9115982136295197E-4</v>
      </c>
      <c r="E35" s="82">
        <v>444.11</v>
      </c>
      <c r="F35" s="169">
        <f t="shared" si="1"/>
        <v>6.9154318255924057E-3</v>
      </c>
      <c r="G35" s="83">
        <f t="shared" si="15"/>
        <v>1.0373147738388607E-3</v>
      </c>
      <c r="H35" s="230">
        <f t="shared" si="16"/>
        <v>1.3284745952018128E-3</v>
      </c>
      <c r="I35" s="84">
        <v>236</v>
      </c>
      <c r="J35" s="85">
        <v>70</v>
      </c>
      <c r="K35" s="85">
        <v>392</v>
      </c>
      <c r="L35" s="85">
        <v>106</v>
      </c>
      <c r="M35" s="86">
        <f t="shared" si="17"/>
        <v>1.3800814481966547E-4</v>
      </c>
      <c r="N35" s="86">
        <f t="shared" si="17"/>
        <v>1.9894728465377488E-4</v>
      </c>
      <c r="O35" s="86">
        <f t="shared" si="17"/>
        <v>2.9332710761513091E-4</v>
      </c>
      <c r="P35" s="86">
        <f t="shared" si="17"/>
        <v>6.7700482844953124E-4</v>
      </c>
      <c r="Q35" s="87">
        <f t="shared" si="18"/>
        <v>1.3072873655381025E-3</v>
      </c>
      <c r="R35" s="88">
        <v>156.00000000186</v>
      </c>
      <c r="S35" s="88">
        <v>60</v>
      </c>
      <c r="T35" s="88">
        <v>117</v>
      </c>
      <c r="U35" s="88">
        <v>25</v>
      </c>
      <c r="V35" s="89">
        <f t="shared" si="19"/>
        <v>1.2268857864044472E-4</v>
      </c>
      <c r="W35" s="89">
        <f t="shared" si="3"/>
        <v>2.0480052428934218E-4</v>
      </c>
      <c r="X35" s="89">
        <f t="shared" si="3"/>
        <v>2.3758081809025633E-4</v>
      </c>
      <c r="Y35" s="89">
        <f t="shared" si="3"/>
        <v>4.5534023022002039E-4</v>
      </c>
      <c r="Z35" s="80">
        <f t="shared" si="20"/>
        <v>1.0204101512400637E-3</v>
      </c>
      <c r="AA35" s="90">
        <f t="shared" si="4"/>
        <v>8.6734862855405406E-4</v>
      </c>
      <c r="AB35" s="80">
        <f t="shared" si="5"/>
        <v>-0.21944464687758616</v>
      </c>
      <c r="AC35" s="80">
        <f t="shared" si="6"/>
        <v>-0.21944464687758616</v>
      </c>
      <c r="AD35" s="81">
        <f t="shared" si="21"/>
        <v>4.0891408212760681E-2</v>
      </c>
      <c r="AE35" s="81">
        <f t="shared" si="7"/>
        <v>6.1337112319141017E-3</v>
      </c>
      <c r="AF35" s="230">
        <f t="shared" si="8"/>
        <v>7.0010598604681555E-3</v>
      </c>
      <c r="AG35" s="82">
        <v>655017</v>
      </c>
      <c r="AH35" s="82">
        <v>271165</v>
      </c>
      <c r="AI35" s="91">
        <f t="shared" si="9"/>
        <v>0.41398162185103593</v>
      </c>
      <c r="AJ35" s="92">
        <f t="shared" si="22"/>
        <v>112257.32648923616</v>
      </c>
      <c r="AK35" s="230">
        <f t="shared" si="23"/>
        <v>1.0296213282673794E-4</v>
      </c>
      <c r="AM35" s="93">
        <f t="shared" si="10"/>
        <v>3103095.5521413051</v>
      </c>
      <c r="AN35" s="94">
        <f t="shared" si="11"/>
        <v>10581553.93408527</v>
      </c>
      <c r="AO35" s="94">
        <f t="shared" si="12"/>
        <v>169766.40421282907</v>
      </c>
      <c r="AP35" s="94">
        <f t="shared" si="13"/>
        <v>13854415.890439404</v>
      </c>
      <c r="AQ35" s="95">
        <f t="shared" si="24"/>
        <v>2.5207818044375345E-3</v>
      </c>
    </row>
    <row r="36" spans="1:43" ht="14.25">
      <c r="A36" s="7" t="s">
        <v>29</v>
      </c>
      <c r="B36" s="79">
        <v>6914</v>
      </c>
      <c r="C36" s="172">
        <f t="shared" si="0"/>
        <v>1.4857768137157357E-3</v>
      </c>
      <c r="D36" s="81">
        <f t="shared" si="14"/>
        <v>1.2629102916583753E-3</v>
      </c>
      <c r="E36" s="82">
        <v>127.8</v>
      </c>
      <c r="F36" s="169">
        <f t="shared" si="1"/>
        <v>1.990029918963116E-3</v>
      </c>
      <c r="G36" s="83">
        <f t="shared" si="15"/>
        <v>2.9850448784446741E-4</v>
      </c>
      <c r="H36" s="230">
        <f t="shared" si="16"/>
        <v>1.5614147795028426E-3</v>
      </c>
      <c r="I36" s="84">
        <v>1201</v>
      </c>
      <c r="J36" s="85">
        <v>234</v>
      </c>
      <c r="K36" s="85">
        <v>2745</v>
      </c>
      <c r="L36" s="85">
        <v>176</v>
      </c>
      <c r="M36" s="86">
        <f t="shared" si="17"/>
        <v>7.0232110986617887E-4</v>
      </c>
      <c r="N36" s="86">
        <f t="shared" si="17"/>
        <v>6.6505235155690464E-4</v>
      </c>
      <c r="O36" s="86">
        <f t="shared" si="17"/>
        <v>2.0540380367437099E-3</v>
      </c>
      <c r="P36" s="86">
        <f t="shared" si="17"/>
        <v>1.1240834887463913E-3</v>
      </c>
      <c r="Q36" s="87">
        <f t="shared" si="18"/>
        <v>4.5454949869131846E-3</v>
      </c>
      <c r="R36" s="88">
        <v>649.99999999475995</v>
      </c>
      <c r="S36" s="88">
        <v>185</v>
      </c>
      <c r="T36" s="88">
        <v>941</v>
      </c>
      <c r="U36" s="88">
        <v>42</v>
      </c>
      <c r="V36" s="89">
        <f t="shared" si="19"/>
        <v>5.1120241099163676E-4</v>
      </c>
      <c r="W36" s="89">
        <f t="shared" si="3"/>
        <v>6.3146828322547177E-4</v>
      </c>
      <c r="X36" s="89">
        <f t="shared" si="3"/>
        <v>1.9107995711361643E-3</v>
      </c>
      <c r="Y36" s="89">
        <f t="shared" si="3"/>
        <v>7.6497158676963432E-4</v>
      </c>
      <c r="Z36" s="80">
        <f t="shared" si="20"/>
        <v>3.8184418521229071E-3</v>
      </c>
      <c r="AA36" s="90">
        <f t="shared" si="4"/>
        <v>3.2456755743044711E-3</v>
      </c>
      <c r="AB36" s="80">
        <f t="shared" si="5"/>
        <v>-0.15995026655700142</v>
      </c>
      <c r="AC36" s="80">
        <f t="shared" si="6"/>
        <v>-0.15995026655700142</v>
      </c>
      <c r="AD36" s="81">
        <f t="shared" si="21"/>
        <v>2.9805200247927655E-2</v>
      </c>
      <c r="AE36" s="81">
        <f t="shared" si="7"/>
        <v>4.4707800371891482E-3</v>
      </c>
      <c r="AF36" s="230">
        <f t="shared" si="8"/>
        <v>7.7164556114936193E-3</v>
      </c>
      <c r="AG36" s="82">
        <v>1549097</v>
      </c>
      <c r="AH36" s="82">
        <v>437587</v>
      </c>
      <c r="AI36" s="91">
        <f t="shared" si="9"/>
        <v>0.28247876020675272</v>
      </c>
      <c r="AJ36" s="92">
        <f t="shared" si="22"/>
        <v>123609.0332425923</v>
      </c>
      <c r="AK36" s="230">
        <f t="shared" si="23"/>
        <v>1.133738892358958E-4</v>
      </c>
      <c r="AM36" s="93">
        <f t="shared" si="10"/>
        <v>3647205.0536931152</v>
      </c>
      <c r="AN36" s="94">
        <f t="shared" si="11"/>
        <v>11662818.610371752</v>
      </c>
      <c r="AO36" s="94">
        <f t="shared" si="12"/>
        <v>186933.55487876394</v>
      </c>
      <c r="AP36" s="94">
        <f t="shared" si="13"/>
        <v>15496957.218943631</v>
      </c>
      <c r="AQ36" s="95">
        <f t="shared" si="24"/>
        <v>2.8196387412202221E-3</v>
      </c>
    </row>
    <row r="37" spans="1:43" ht="14.25">
      <c r="A37" s="7" t="s">
        <v>30</v>
      </c>
      <c r="B37" s="79">
        <v>3558</v>
      </c>
      <c r="C37" s="172">
        <f t="shared" si="0"/>
        <v>7.6459269644208675E-4</v>
      </c>
      <c r="D37" s="81">
        <f t="shared" si="14"/>
        <v>6.4990379197577377E-4</v>
      </c>
      <c r="E37" s="82">
        <v>561.88</v>
      </c>
      <c r="F37" s="169">
        <f t="shared" si="1"/>
        <v>8.7492802102268827E-3</v>
      </c>
      <c r="G37" s="83">
        <f t="shared" si="15"/>
        <v>1.3123920315340324E-3</v>
      </c>
      <c r="H37" s="230">
        <f t="shared" si="16"/>
        <v>1.9622958235098061E-3</v>
      </c>
      <c r="I37" s="84">
        <v>779</v>
      </c>
      <c r="J37" s="85">
        <v>226</v>
      </c>
      <c r="K37" s="85">
        <v>2400</v>
      </c>
      <c r="L37" s="85">
        <v>462</v>
      </c>
      <c r="M37" s="86">
        <f t="shared" si="17"/>
        <v>4.5554383395982794E-4</v>
      </c>
      <c r="N37" s="86">
        <f t="shared" si="17"/>
        <v>6.4231551902504459E-4</v>
      </c>
      <c r="O37" s="86">
        <f t="shared" si="17"/>
        <v>1.795880250704883E-3</v>
      </c>
      <c r="P37" s="86">
        <f t="shared" si="17"/>
        <v>2.9507191579592777E-3</v>
      </c>
      <c r="Q37" s="87">
        <f t="shared" si="18"/>
        <v>5.8444587616490332E-3</v>
      </c>
      <c r="R37" s="88">
        <v>671.99999999645991</v>
      </c>
      <c r="S37" s="88">
        <v>188</v>
      </c>
      <c r="T37" s="88">
        <v>1437</v>
      </c>
      <c r="U37" s="88">
        <v>355</v>
      </c>
      <c r="V37" s="89">
        <f t="shared" si="19"/>
        <v>5.2850464644206086E-4</v>
      </c>
      <c r="W37" s="89">
        <f t="shared" si="3"/>
        <v>6.4170830943993879E-4</v>
      </c>
      <c r="X37" s="89">
        <f t="shared" si="3"/>
        <v>2.9179797914162253E-3</v>
      </c>
      <c r="Y37" s="89">
        <f t="shared" si="3"/>
        <v>6.4658312691242897E-3</v>
      </c>
      <c r="Z37" s="80">
        <f t="shared" si="20"/>
        <v>1.0554024016422515E-2</v>
      </c>
      <c r="AA37" s="90">
        <f t="shared" si="4"/>
        <v>8.9709204139591381E-3</v>
      </c>
      <c r="AB37" s="80">
        <f t="shared" si="5"/>
        <v>0.80581717603644487</v>
      </c>
      <c r="AC37" s="80">
        <f t="shared" si="6"/>
        <v>0</v>
      </c>
      <c r="AD37" s="81">
        <f t="shared" si="21"/>
        <v>0</v>
      </c>
      <c r="AE37" s="81">
        <f t="shared" si="7"/>
        <v>0</v>
      </c>
      <c r="AF37" s="230">
        <f t="shared" si="8"/>
        <v>8.9709204139591381E-3</v>
      </c>
      <c r="AG37" s="82">
        <v>430027</v>
      </c>
      <c r="AH37" s="82">
        <v>82091</v>
      </c>
      <c r="AI37" s="91">
        <f t="shared" si="9"/>
        <v>0.19089731574994129</v>
      </c>
      <c r="AJ37" s="92">
        <f t="shared" si="22"/>
        <v>15670.951547228431</v>
      </c>
      <c r="AK37" s="230">
        <f t="shared" si="23"/>
        <v>1.4373356690280884E-5</v>
      </c>
      <c r="AM37" s="93">
        <f t="shared" si="10"/>
        <v>4583596.4525868185</v>
      </c>
      <c r="AN37" s="94">
        <f t="shared" si="11"/>
        <v>13558843.959426956</v>
      </c>
      <c r="AO37" s="94">
        <f t="shared" si="12"/>
        <v>23699.131076505146</v>
      </c>
      <c r="AP37" s="94">
        <f t="shared" si="13"/>
        <v>18166139.54309028</v>
      </c>
      <c r="AQ37" s="95">
        <f t="shared" si="24"/>
        <v>3.3052908458375153E-3</v>
      </c>
    </row>
    <row r="38" spans="1:43" ht="14.25">
      <c r="A38" s="7" t="s">
        <v>31</v>
      </c>
      <c r="B38" s="79">
        <v>256970</v>
      </c>
      <c r="C38" s="172">
        <f t="shared" si="0"/>
        <v>5.5221299945116084E-2</v>
      </c>
      <c r="D38" s="81">
        <f t="shared" si="14"/>
        <v>4.6938104953348672E-2</v>
      </c>
      <c r="E38" s="82">
        <v>247</v>
      </c>
      <c r="F38" s="169">
        <f t="shared" si="1"/>
        <v>3.8461454615327825E-3</v>
      </c>
      <c r="G38" s="83">
        <f t="shared" si="15"/>
        <v>5.769218192299174E-4</v>
      </c>
      <c r="H38" s="230">
        <f t="shared" si="16"/>
        <v>4.7515026772578586E-2</v>
      </c>
      <c r="I38" s="84">
        <v>7826</v>
      </c>
      <c r="J38" s="85">
        <v>1628</v>
      </c>
      <c r="K38" s="85">
        <v>22499</v>
      </c>
      <c r="L38" s="85">
        <v>705</v>
      </c>
      <c r="M38" s="86">
        <f t="shared" si="17"/>
        <v>4.5764904294860248E-3</v>
      </c>
      <c r="N38" s="86">
        <f t="shared" si="17"/>
        <v>4.6269454202335072E-3</v>
      </c>
      <c r="O38" s="86">
        <f t="shared" si="17"/>
        <v>1.6835629066920484E-2</v>
      </c>
      <c r="P38" s="86">
        <f t="shared" si="17"/>
        <v>4.5027207929898066E-3</v>
      </c>
      <c r="Q38" s="87">
        <f t="shared" si="18"/>
        <v>3.0541785709629822E-2</v>
      </c>
      <c r="R38" s="88">
        <v>16068.000000124277</v>
      </c>
      <c r="S38" s="88">
        <v>2619</v>
      </c>
      <c r="T38" s="88">
        <v>3702</v>
      </c>
      <c r="U38" s="88">
        <v>260</v>
      </c>
      <c r="V38" s="89">
        <f t="shared" si="19"/>
        <v>1.2636923599912874E-2</v>
      </c>
      <c r="W38" s="89">
        <f t="shared" si="3"/>
        <v>8.939542885229787E-3</v>
      </c>
      <c r="X38" s="89">
        <f t="shared" si="3"/>
        <v>7.5173007570096496E-3</v>
      </c>
      <c r="Y38" s="89">
        <f t="shared" si="3"/>
        <v>4.7355383942882124E-3</v>
      </c>
      <c r="Z38" s="80">
        <f t="shared" si="20"/>
        <v>3.3829305636440522E-2</v>
      </c>
      <c r="AA38" s="90">
        <f t="shared" si="4"/>
        <v>2.8754909790974444E-2</v>
      </c>
      <c r="AB38" s="80">
        <f t="shared" si="5"/>
        <v>0.10764006918476104</v>
      </c>
      <c r="AC38" s="80">
        <f t="shared" si="6"/>
        <v>0</v>
      </c>
      <c r="AD38" s="81">
        <f t="shared" si="21"/>
        <v>0</v>
      </c>
      <c r="AE38" s="81">
        <f t="shared" si="7"/>
        <v>0</v>
      </c>
      <c r="AF38" s="230">
        <f t="shared" si="8"/>
        <v>2.8754909790974444E-2</v>
      </c>
      <c r="AG38" s="82">
        <v>162865275</v>
      </c>
      <c r="AH38" s="82">
        <v>49023503.210000001</v>
      </c>
      <c r="AI38" s="91">
        <f t="shared" si="9"/>
        <v>0.30100648041763356</v>
      </c>
      <c r="AJ38" s="92">
        <f t="shared" si="22"/>
        <v>14756392.158984661</v>
      </c>
      <c r="AK38" s="230">
        <f t="shared" si="23"/>
        <v>1.3534525157807818E-2</v>
      </c>
      <c r="AM38" s="93">
        <f t="shared" si="10"/>
        <v>110987194.46378648</v>
      </c>
      <c r="AN38" s="94">
        <f t="shared" si="11"/>
        <v>43460795.206314132</v>
      </c>
      <c r="AO38" s="94">
        <f t="shared" si="12"/>
        <v>22316045.770299166</v>
      </c>
      <c r="AP38" s="94">
        <f t="shared" si="13"/>
        <v>176764035.4403998</v>
      </c>
      <c r="AQ38" s="95">
        <f t="shared" si="24"/>
        <v>3.2161844118206218E-2</v>
      </c>
    </row>
    <row r="39" spans="1:43" ht="14.25">
      <c r="A39" s="7" t="s">
        <v>32</v>
      </c>
      <c r="B39" s="79">
        <v>5349</v>
      </c>
      <c r="C39" s="172">
        <f t="shared" si="0"/>
        <v>1.1494677721384829E-3</v>
      </c>
      <c r="D39" s="81">
        <f t="shared" si="14"/>
        <v>9.7704760631771043E-4</v>
      </c>
      <c r="E39" s="82">
        <v>3428.68</v>
      </c>
      <c r="F39" s="169">
        <f t="shared" si="1"/>
        <v>5.3389481866591988E-2</v>
      </c>
      <c r="G39" s="83">
        <f t="shared" si="15"/>
        <v>8.0084222799887972E-3</v>
      </c>
      <c r="H39" s="230">
        <f t="shared" si="16"/>
        <v>8.9854698863065068E-3</v>
      </c>
      <c r="I39" s="84">
        <v>900</v>
      </c>
      <c r="J39" s="85">
        <v>209</v>
      </c>
      <c r="K39" s="85">
        <v>2198</v>
      </c>
      <c r="L39" s="85">
        <v>203</v>
      </c>
      <c r="M39" s="86">
        <f t="shared" si="17"/>
        <v>5.2630224719363945E-4</v>
      </c>
      <c r="N39" s="86">
        <f t="shared" si="17"/>
        <v>5.9399974989484219E-4</v>
      </c>
      <c r="O39" s="86">
        <f t="shared" si="17"/>
        <v>1.6447269962705554E-3</v>
      </c>
      <c r="P39" s="86">
        <f t="shared" si="17"/>
        <v>1.2965281148608946E-3</v>
      </c>
      <c r="Q39" s="87">
        <f t="shared" si="18"/>
        <v>4.0615571082199316E-3</v>
      </c>
      <c r="R39" s="88">
        <v>711.99999999240003</v>
      </c>
      <c r="S39" s="88">
        <v>170</v>
      </c>
      <c r="T39" s="88">
        <v>749</v>
      </c>
      <c r="U39" s="88">
        <v>32</v>
      </c>
      <c r="V39" s="89">
        <f t="shared" si="19"/>
        <v>5.5996325634629924E-4</v>
      </c>
      <c r="W39" s="89">
        <f t="shared" si="3"/>
        <v>5.8026815215313622E-4</v>
      </c>
      <c r="X39" s="89">
        <f t="shared" si="3"/>
        <v>1.5209233568342052E-3</v>
      </c>
      <c r="Y39" s="89">
        <f t="shared" si="3"/>
        <v>5.8283549468162615E-4</v>
      </c>
      <c r="Z39" s="80">
        <f t="shared" si="20"/>
        <v>3.2439902600152671E-3</v>
      </c>
      <c r="AA39" s="90">
        <f t="shared" si="4"/>
        <v>2.7573917210129768E-3</v>
      </c>
      <c r="AB39" s="80">
        <f t="shared" si="5"/>
        <v>-0.20129394378083273</v>
      </c>
      <c r="AC39" s="80">
        <f t="shared" si="6"/>
        <v>-0.20129394378083273</v>
      </c>
      <c r="AD39" s="81">
        <f t="shared" si="21"/>
        <v>3.7509198529186154E-2</v>
      </c>
      <c r="AE39" s="81">
        <f t="shared" si="7"/>
        <v>5.6263797793779232E-3</v>
      </c>
      <c r="AF39" s="230">
        <f t="shared" si="8"/>
        <v>8.3837715003909005E-3</v>
      </c>
      <c r="AG39" s="82">
        <v>3048413</v>
      </c>
      <c r="AH39" s="82">
        <v>926066</v>
      </c>
      <c r="AI39" s="91">
        <f t="shared" si="9"/>
        <v>0.3037862651812599</v>
      </c>
      <c r="AJ39" s="92">
        <f t="shared" si="22"/>
        <v>281326.1314513486</v>
      </c>
      <c r="AK39" s="230">
        <f t="shared" si="23"/>
        <v>2.5803160844832252E-4</v>
      </c>
      <c r="AM39" s="93">
        <f t="shared" si="10"/>
        <v>20988562.174093813</v>
      </c>
      <c r="AN39" s="94">
        <f t="shared" si="11"/>
        <v>12671414.338757148</v>
      </c>
      <c r="AO39" s="94">
        <f t="shared" si="12"/>
        <v>425448.62986898754</v>
      </c>
      <c r="AP39" s="94">
        <f t="shared" si="13"/>
        <v>34085425.142719947</v>
      </c>
      <c r="AQ39" s="95">
        <f t="shared" si="24"/>
        <v>6.2017713468222602E-3</v>
      </c>
    </row>
    <row r="40" spans="1:43" ht="14.25">
      <c r="A40" s="7" t="s">
        <v>33</v>
      </c>
      <c r="B40" s="79">
        <v>78669</v>
      </c>
      <c r="C40" s="172">
        <f t="shared" ref="C40:C58" si="25">+B40/$B$59</f>
        <v>1.6905492646543709E-2</v>
      </c>
      <c r="D40" s="81">
        <f t="shared" si="14"/>
        <v>1.4369668749562152E-2</v>
      </c>
      <c r="E40" s="82">
        <v>2539.67</v>
      </c>
      <c r="F40" s="169">
        <f t="shared" ref="F40:F59" si="26">+E40/$E$59</f>
        <v>3.9546316778505917E-2</v>
      </c>
      <c r="G40" s="83">
        <f t="shared" si="15"/>
        <v>5.9319475167758876E-3</v>
      </c>
      <c r="H40" s="230">
        <f t="shared" si="16"/>
        <v>2.030161626633804E-2</v>
      </c>
      <c r="I40" s="84">
        <v>12929</v>
      </c>
      <c r="J40" s="85">
        <v>2053</v>
      </c>
      <c r="K40" s="85">
        <v>23315</v>
      </c>
      <c r="L40" s="85">
        <v>2592</v>
      </c>
      <c r="M40" s="86">
        <f t="shared" si="17"/>
        <v>7.5606241710739607E-3</v>
      </c>
      <c r="N40" s="86">
        <f t="shared" si="17"/>
        <v>5.8348396484885689E-3</v>
      </c>
      <c r="O40" s="86">
        <f t="shared" si="17"/>
        <v>1.7446228352160146E-2</v>
      </c>
      <c r="P40" s="86">
        <f t="shared" si="17"/>
        <v>1.6554684106992311E-2</v>
      </c>
      <c r="Q40" s="87">
        <f t="shared" si="18"/>
        <v>4.7396376278714986E-2</v>
      </c>
      <c r="R40" s="88">
        <v>10671.999999957041</v>
      </c>
      <c r="S40" s="88">
        <v>1702</v>
      </c>
      <c r="T40" s="88">
        <v>11424</v>
      </c>
      <c r="U40" s="88">
        <v>888</v>
      </c>
      <c r="V40" s="89">
        <f t="shared" si="19"/>
        <v>8.3931571232688726E-3</v>
      </c>
      <c r="W40" s="89">
        <f t="shared" si="3"/>
        <v>5.8095082056743401E-3</v>
      </c>
      <c r="X40" s="89">
        <f t="shared" si="3"/>
        <v>2.3197634750966568E-2</v>
      </c>
      <c r="Y40" s="89">
        <f t="shared" si="3"/>
        <v>1.6173684977415125E-2</v>
      </c>
      <c r="Z40" s="80">
        <f t="shared" si="20"/>
        <v>5.3573985057324913E-2</v>
      </c>
      <c r="AA40" s="90">
        <f t="shared" ref="AA40:AA58" si="27">+Z40*AA$4</f>
        <v>4.5537887298726175E-2</v>
      </c>
      <c r="AB40" s="80">
        <f t="shared" si="5"/>
        <v>0.13033926353952507</v>
      </c>
      <c r="AC40" s="80">
        <f t="shared" si="6"/>
        <v>0</v>
      </c>
      <c r="AD40" s="81">
        <f t="shared" si="21"/>
        <v>0</v>
      </c>
      <c r="AE40" s="81">
        <f t="shared" ref="AE40:AE58" si="28">+AD40*AE$4</f>
        <v>0</v>
      </c>
      <c r="AF40" s="230">
        <f t="shared" si="8"/>
        <v>4.5537887298726175E-2</v>
      </c>
      <c r="AG40" s="82">
        <v>30844776</v>
      </c>
      <c r="AH40" s="82">
        <v>8842327</v>
      </c>
      <c r="AI40" s="91">
        <f t="shared" ref="AI40:AI58" si="29">+AH40/AG40</f>
        <v>0.28667178519954239</v>
      </c>
      <c r="AJ40" s="92">
        <f t="shared" si="22"/>
        <v>2534845.6664081141</v>
      </c>
      <c r="AK40" s="230">
        <f t="shared" si="23"/>
        <v>2.3249539639180585E-3</v>
      </c>
      <c r="AM40" s="93">
        <f t="shared" ref="AM40:AM58" si="30">+H40*AM$6</f>
        <v>47421196.73563116</v>
      </c>
      <c r="AN40" s="94">
        <f t="shared" ref="AN40:AN58" si="31">+AF40*AN$6</f>
        <v>68826951.93289575</v>
      </c>
      <c r="AO40" s="94">
        <f t="shared" ref="AO40:AO58" si="32">+AK40*AO$6</f>
        <v>3833439.183694086</v>
      </c>
      <c r="AP40" s="94">
        <f t="shared" ref="AP40:AP58" si="33">SUM(AM40:AO40)</f>
        <v>120081587.852221</v>
      </c>
      <c r="AQ40" s="95">
        <f t="shared" si="24"/>
        <v>2.1848592109518783E-2</v>
      </c>
    </row>
    <row r="41" spans="1:43" ht="14.25">
      <c r="A41" s="7" t="s">
        <v>34</v>
      </c>
      <c r="B41" s="79">
        <v>5488</v>
      </c>
      <c r="C41" s="172">
        <f t="shared" si="25"/>
        <v>1.1793380320613187E-3</v>
      </c>
      <c r="D41" s="81">
        <f t="shared" si="14"/>
        <v>1.0024373272521209E-3</v>
      </c>
      <c r="E41" s="82">
        <v>264.23</v>
      </c>
      <c r="F41" s="169">
        <f t="shared" si="26"/>
        <v>4.114441357493147E-3</v>
      </c>
      <c r="G41" s="83">
        <f t="shared" si="15"/>
        <v>6.1716620362397201E-4</v>
      </c>
      <c r="H41" s="230">
        <f t="shared" si="16"/>
        <v>1.6196035308760929E-3</v>
      </c>
      <c r="I41" s="84">
        <v>549</v>
      </c>
      <c r="J41" s="85">
        <v>170</v>
      </c>
      <c r="K41" s="85">
        <v>368</v>
      </c>
      <c r="L41" s="85">
        <v>141</v>
      </c>
      <c r="M41" s="86">
        <f t="shared" si="17"/>
        <v>3.2104437078812008E-4</v>
      </c>
      <c r="N41" s="86">
        <f t="shared" si="17"/>
        <v>4.8315769130202469E-4</v>
      </c>
      <c r="O41" s="86">
        <f t="shared" si="17"/>
        <v>2.7536830510808204E-4</v>
      </c>
      <c r="P41" s="86">
        <f t="shared" si="17"/>
        <v>9.0054415859796135E-4</v>
      </c>
      <c r="Q41" s="87">
        <f t="shared" si="18"/>
        <v>1.9801145257961881E-3</v>
      </c>
      <c r="R41" s="88">
        <v>273.99999999933596</v>
      </c>
      <c r="S41" s="88">
        <v>118</v>
      </c>
      <c r="T41" s="88">
        <v>143</v>
      </c>
      <c r="U41" s="88">
        <v>8</v>
      </c>
      <c r="V41" s="89">
        <f t="shared" si="19"/>
        <v>2.1549147786538184E-4</v>
      </c>
      <c r="W41" s="89">
        <f t="shared" si="3"/>
        <v>4.0277436443570628E-4</v>
      </c>
      <c r="X41" s="89">
        <f t="shared" si="3"/>
        <v>2.9037655544364666E-4</v>
      </c>
      <c r="Y41" s="89">
        <f t="shared" si="3"/>
        <v>1.4570887367040654E-4</v>
      </c>
      <c r="Z41" s="80">
        <f t="shared" si="20"/>
        <v>1.0543512714151413E-3</v>
      </c>
      <c r="AA41" s="90">
        <f t="shared" si="27"/>
        <v>8.9619858070287008E-4</v>
      </c>
      <c r="AB41" s="80">
        <f t="shared" si="5"/>
        <v>-0.46753015662505931</v>
      </c>
      <c r="AC41" s="80">
        <f t="shared" si="6"/>
        <v>-0.46753015662505931</v>
      </c>
      <c r="AD41" s="81">
        <f t="shared" si="21"/>
        <v>8.7119766913229382E-2</v>
      </c>
      <c r="AE41" s="81">
        <f t="shared" si="28"/>
        <v>1.3067965036984408E-2</v>
      </c>
      <c r="AF41" s="230">
        <f t="shared" si="8"/>
        <v>1.3964163617687278E-2</v>
      </c>
      <c r="AG41" s="82">
        <v>1487800</v>
      </c>
      <c r="AH41" s="82">
        <v>427907</v>
      </c>
      <c r="AI41" s="91">
        <f t="shared" si="29"/>
        <v>0.28761056593628176</v>
      </c>
      <c r="AJ41" s="92">
        <f t="shared" si="22"/>
        <v>123070.57443809652</v>
      </c>
      <c r="AK41" s="230">
        <f t="shared" si="23"/>
        <v>1.1288001619719006E-4</v>
      </c>
      <c r="AM41" s="93">
        <f t="shared" si="30"/>
        <v>3783124.2923621535</v>
      </c>
      <c r="AN41" s="94">
        <f t="shared" si="31"/>
        <v>21105740.189324483</v>
      </c>
      <c r="AO41" s="94">
        <f t="shared" si="32"/>
        <v>186119.24531060623</v>
      </c>
      <c r="AP41" s="94">
        <f t="shared" si="33"/>
        <v>25074983.726997241</v>
      </c>
      <c r="AQ41" s="95">
        <f t="shared" si="24"/>
        <v>4.5623405003454975E-3</v>
      </c>
    </row>
    <row r="42" spans="1:43" ht="14.25">
      <c r="A42" s="7" t="s">
        <v>35</v>
      </c>
      <c r="B42" s="79">
        <v>862</v>
      </c>
      <c r="C42" s="172">
        <f t="shared" si="25"/>
        <v>1.8523859031283833E-4</v>
      </c>
      <c r="D42" s="81">
        <f t="shared" si="14"/>
        <v>1.5745280176591257E-4</v>
      </c>
      <c r="E42" s="82">
        <v>207.92</v>
      </c>
      <c r="F42" s="169">
        <f t="shared" si="26"/>
        <v>3.2376136208983647E-3</v>
      </c>
      <c r="G42" s="83">
        <f t="shared" si="15"/>
        <v>4.8564204313475466E-4</v>
      </c>
      <c r="H42" s="230">
        <f t="shared" si="16"/>
        <v>6.430948449006672E-4</v>
      </c>
      <c r="I42" s="84">
        <v>166</v>
      </c>
      <c r="J42" s="85">
        <v>24</v>
      </c>
      <c r="K42" s="85">
        <v>127</v>
      </c>
      <c r="L42" s="85">
        <v>48</v>
      </c>
      <c r="M42" s="86">
        <f t="shared" si="17"/>
        <v>9.7073525593493502E-5</v>
      </c>
      <c r="N42" s="86">
        <f t="shared" si="17"/>
        <v>6.821049759557996E-5</v>
      </c>
      <c r="O42" s="86">
        <f t="shared" si="17"/>
        <v>9.5031996599800059E-5</v>
      </c>
      <c r="P42" s="86">
        <f t="shared" si="17"/>
        <v>3.0656822420356133E-4</v>
      </c>
      <c r="Q42" s="87">
        <f t="shared" si="18"/>
        <v>5.668842439924349E-4</v>
      </c>
      <c r="R42" s="88">
        <v>122.00000000265999</v>
      </c>
      <c r="S42" s="88">
        <v>28</v>
      </c>
      <c r="T42" s="88">
        <v>16</v>
      </c>
      <c r="U42" s="88">
        <v>3</v>
      </c>
      <c r="V42" s="89">
        <f t="shared" si="19"/>
        <v>9.5948760219757314E-5</v>
      </c>
      <c r="W42" s="89">
        <f t="shared" si="3"/>
        <v>9.5573578001693018E-5</v>
      </c>
      <c r="X42" s="89">
        <f t="shared" si="3"/>
        <v>3.2489684525163258E-5</v>
      </c>
      <c r="Y42" s="89">
        <f t="shared" si="3"/>
        <v>5.4640827626402448E-5</v>
      </c>
      <c r="Z42" s="80">
        <f t="shared" si="20"/>
        <v>2.7865285037301604E-4</v>
      </c>
      <c r="AA42" s="90">
        <f t="shared" si="27"/>
        <v>2.3685492281706362E-4</v>
      </c>
      <c r="AB42" s="80">
        <f t="shared" si="5"/>
        <v>-0.50844841195350865</v>
      </c>
      <c r="AC42" s="80">
        <f t="shared" si="6"/>
        <v>-0.50844841195350865</v>
      </c>
      <c r="AD42" s="81">
        <f t="shared" si="21"/>
        <v>9.474449189876509E-2</v>
      </c>
      <c r="AE42" s="81">
        <f t="shared" si="28"/>
        <v>1.4211673784814763E-2</v>
      </c>
      <c r="AF42" s="230">
        <f t="shared" si="8"/>
        <v>1.4448528707631827E-2</v>
      </c>
      <c r="AG42" s="82">
        <v>677663</v>
      </c>
      <c r="AH42" s="82">
        <v>308778</v>
      </c>
      <c r="AI42" s="91">
        <f t="shared" si="29"/>
        <v>0.45565126028719288</v>
      </c>
      <c r="AJ42" s="92">
        <f t="shared" si="22"/>
        <v>140695.08484895885</v>
      </c>
      <c r="AK42" s="230">
        <f t="shared" si="23"/>
        <v>1.2904517208216861E-4</v>
      </c>
      <c r="AM42" s="93">
        <f t="shared" si="30"/>
        <v>1502162.5253685089</v>
      </c>
      <c r="AN42" s="94">
        <f t="shared" si="31"/>
        <v>21837820.106534842</v>
      </c>
      <c r="AO42" s="94">
        <f t="shared" si="32"/>
        <v>212772.73735462496</v>
      </c>
      <c r="AP42" s="94">
        <f t="shared" si="33"/>
        <v>23552755.369257975</v>
      </c>
      <c r="AQ42" s="95">
        <f t="shared" si="24"/>
        <v>4.2853742553061866E-3</v>
      </c>
    </row>
    <row r="43" spans="1:43" ht="14.25">
      <c r="A43" s="7" t="s">
        <v>36</v>
      </c>
      <c r="B43" s="79">
        <v>7095</v>
      </c>
      <c r="C43" s="172">
        <f t="shared" si="25"/>
        <v>1.5246726198023062E-3</v>
      </c>
      <c r="D43" s="81">
        <f t="shared" si="14"/>
        <v>1.2959717268319602E-3</v>
      </c>
      <c r="E43" s="82">
        <v>1006.78</v>
      </c>
      <c r="F43" s="169">
        <f t="shared" si="26"/>
        <v>1.5677013472720547E-2</v>
      </c>
      <c r="G43" s="83">
        <f t="shared" si="15"/>
        <v>2.3515520209080819E-3</v>
      </c>
      <c r="H43" s="230">
        <f t="shared" si="16"/>
        <v>3.6475237477400424E-3</v>
      </c>
      <c r="I43" s="84">
        <v>1457</v>
      </c>
      <c r="J43" s="85">
        <v>857</v>
      </c>
      <c r="K43" s="85">
        <v>6591</v>
      </c>
      <c r="L43" s="85">
        <v>540</v>
      </c>
      <c r="M43" s="86">
        <f t="shared" si="17"/>
        <v>8.5202486017903634E-4</v>
      </c>
      <c r="N43" s="86">
        <f t="shared" si="17"/>
        <v>2.4356831849755012E-3</v>
      </c>
      <c r="O43" s="86">
        <f t="shared" si="17"/>
        <v>4.9319361384982845E-3</v>
      </c>
      <c r="P43" s="86">
        <f t="shared" si="17"/>
        <v>3.4488925222900648E-3</v>
      </c>
      <c r="Q43" s="87">
        <f t="shared" si="18"/>
        <v>1.1668536705942888E-2</v>
      </c>
      <c r="R43" s="88">
        <v>1103.9999999949041</v>
      </c>
      <c r="S43" s="88">
        <v>656</v>
      </c>
      <c r="T43" s="88">
        <v>3161</v>
      </c>
      <c r="U43" s="88">
        <v>242</v>
      </c>
      <c r="V43" s="89">
        <f t="shared" si="19"/>
        <v>8.6825763344109482E-4</v>
      </c>
      <c r="W43" s="89">
        <f t="shared" si="3"/>
        <v>2.2391523988968078E-3</v>
      </c>
      <c r="X43" s="89">
        <f t="shared" si="3"/>
        <v>6.4187432990025668E-3</v>
      </c>
      <c r="Y43" s="89">
        <f t="shared" si="3"/>
        <v>4.4076934285297974E-3</v>
      </c>
      <c r="Z43" s="80">
        <f t="shared" si="20"/>
        <v>1.3933846759870267E-2</v>
      </c>
      <c r="AA43" s="90">
        <f t="shared" si="27"/>
        <v>1.1843769745889727E-2</v>
      </c>
      <c r="AB43" s="80">
        <f t="shared" si="5"/>
        <v>0.19413831494172162</v>
      </c>
      <c r="AC43" s="80">
        <f t="shared" si="6"/>
        <v>0</v>
      </c>
      <c r="AD43" s="81">
        <f t="shared" si="21"/>
        <v>0</v>
      </c>
      <c r="AE43" s="81">
        <f t="shared" si="28"/>
        <v>0</v>
      </c>
      <c r="AF43" s="230">
        <f t="shared" si="8"/>
        <v>1.1843769745889727E-2</v>
      </c>
      <c r="AG43" s="82">
        <v>606526</v>
      </c>
      <c r="AH43" s="82">
        <v>79679</v>
      </c>
      <c r="AI43" s="91">
        <f t="shared" si="29"/>
        <v>0.13136947138292504</v>
      </c>
      <c r="AJ43" s="92">
        <f t="shared" si="22"/>
        <v>10467.388110320084</v>
      </c>
      <c r="AK43" s="230">
        <f t="shared" si="23"/>
        <v>9.6006616108671878E-6</v>
      </c>
      <c r="AM43" s="93">
        <f t="shared" si="30"/>
        <v>8520008.4057478439</v>
      </c>
      <c r="AN43" s="94">
        <f t="shared" si="31"/>
        <v>17900930.837154578</v>
      </c>
      <c r="AO43" s="94">
        <f t="shared" si="32"/>
        <v>15829.798344249271</v>
      </c>
      <c r="AP43" s="94">
        <f t="shared" si="33"/>
        <v>26436769.041246671</v>
      </c>
      <c r="AQ43" s="95">
        <f t="shared" si="24"/>
        <v>4.8101144713924536E-3</v>
      </c>
    </row>
    <row r="44" spans="1:43" ht="14.25">
      <c r="A44" s="7" t="s">
        <v>37</v>
      </c>
      <c r="B44" s="79">
        <v>5447</v>
      </c>
      <c r="C44" s="172">
        <f t="shared" si="25"/>
        <v>1.1705273798538634E-3</v>
      </c>
      <c r="D44" s="81">
        <f t="shared" si="14"/>
        <v>9.9494827287578387E-4</v>
      </c>
      <c r="E44" s="82">
        <v>3872.26</v>
      </c>
      <c r="F44" s="169">
        <f t="shared" si="26"/>
        <v>6.0296660829453175E-2</v>
      </c>
      <c r="G44" s="83">
        <f t="shared" si="15"/>
        <v>9.0444991244179752E-3</v>
      </c>
      <c r="H44" s="230">
        <f t="shared" si="16"/>
        <v>1.0039447397293759E-2</v>
      </c>
      <c r="I44" s="84">
        <v>871</v>
      </c>
      <c r="J44" s="85">
        <v>298</v>
      </c>
      <c r="K44" s="85">
        <v>2364</v>
      </c>
      <c r="L44" s="85">
        <v>407</v>
      </c>
      <c r="M44" s="86">
        <f t="shared" si="17"/>
        <v>5.0934361922851112E-4</v>
      </c>
      <c r="N44" s="86">
        <f t="shared" si="17"/>
        <v>8.4694701181178454E-4</v>
      </c>
      <c r="O44" s="86">
        <f t="shared" si="17"/>
        <v>1.7689420469443097E-3</v>
      </c>
      <c r="P44" s="86">
        <f t="shared" si="17"/>
        <v>2.5994430677260304E-3</v>
      </c>
      <c r="Q44" s="87">
        <f t="shared" si="18"/>
        <v>5.7246757457106359E-3</v>
      </c>
      <c r="R44" s="88">
        <v>541.99999999184001</v>
      </c>
      <c r="S44" s="88">
        <v>247</v>
      </c>
      <c r="T44" s="88">
        <v>493</v>
      </c>
      <c r="U44" s="88">
        <v>128</v>
      </c>
      <c r="V44" s="89">
        <f t="shared" si="19"/>
        <v>4.2626416423927597E-4</v>
      </c>
      <c r="W44" s="89">
        <f t="shared" si="3"/>
        <v>8.4309549165779193E-4</v>
      </c>
      <c r="X44" s="89">
        <f t="shared" si="3"/>
        <v>1.0010884044315931E-3</v>
      </c>
      <c r="Y44" s="89">
        <f t="shared" si="3"/>
        <v>2.3313419787265046E-3</v>
      </c>
      <c r="Z44" s="80">
        <f t="shared" si="20"/>
        <v>4.6017900390551651E-3</v>
      </c>
      <c r="AA44" s="90">
        <f t="shared" si="27"/>
        <v>3.9115215331968906E-3</v>
      </c>
      <c r="AB44" s="80">
        <f t="shared" si="5"/>
        <v>-0.19614835084708904</v>
      </c>
      <c r="AC44" s="80">
        <f t="shared" si="6"/>
        <v>-0.19614835084708904</v>
      </c>
      <c r="AD44" s="81">
        <f t="shared" si="21"/>
        <v>3.655036656794089E-2</v>
      </c>
      <c r="AE44" s="81">
        <f t="shared" si="28"/>
        <v>5.4825549851911333E-3</v>
      </c>
      <c r="AF44" s="230">
        <f t="shared" si="8"/>
        <v>9.3940765183880247E-3</v>
      </c>
      <c r="AG44" s="82">
        <v>3795753</v>
      </c>
      <c r="AH44" s="82">
        <v>709878</v>
      </c>
      <c r="AI44" s="91">
        <f t="shared" si="29"/>
        <v>0.18701901836078375</v>
      </c>
      <c r="AJ44" s="92">
        <f t="shared" si="22"/>
        <v>132760.68671591644</v>
      </c>
      <c r="AK44" s="230">
        <f t="shared" si="23"/>
        <v>1.2176776240189382E-4</v>
      </c>
      <c r="AM44" s="93">
        <f t="shared" si="30"/>
        <v>23450478.22293226</v>
      </c>
      <c r="AN44" s="94">
        <f t="shared" si="31"/>
        <v>14198411.286487671</v>
      </c>
      <c r="AO44" s="94">
        <f t="shared" si="32"/>
        <v>200773.57184119406</v>
      </c>
      <c r="AP44" s="94">
        <f t="shared" si="33"/>
        <v>37849663.081261128</v>
      </c>
      <c r="AQ44" s="95">
        <f t="shared" si="24"/>
        <v>6.8866665151271229E-3</v>
      </c>
    </row>
    <row r="45" spans="1:43" ht="14.25">
      <c r="A45" s="7" t="s">
        <v>38</v>
      </c>
      <c r="B45" s="79">
        <v>59113</v>
      </c>
      <c r="C45" s="172">
        <f t="shared" si="25"/>
        <v>1.2703026437543865E-2</v>
      </c>
      <c r="D45" s="81">
        <f t="shared" si="14"/>
        <v>1.0797572471912285E-2</v>
      </c>
      <c r="E45" s="82">
        <v>1869.3</v>
      </c>
      <c r="F45" s="169">
        <f t="shared" si="26"/>
        <v>2.9107691138636562E-2</v>
      </c>
      <c r="G45" s="83">
        <f t="shared" si="15"/>
        <v>4.3661536707954845E-3</v>
      </c>
      <c r="H45" s="230">
        <f t="shared" si="16"/>
        <v>1.516372614270777E-2</v>
      </c>
      <c r="I45" s="84">
        <v>9097</v>
      </c>
      <c r="J45" s="85">
        <v>1608</v>
      </c>
      <c r="K45" s="85">
        <v>18077</v>
      </c>
      <c r="L45" s="85">
        <v>1611</v>
      </c>
      <c r="M45" s="86">
        <f t="shared" si="17"/>
        <v>5.3197461585783755E-3</v>
      </c>
      <c r="N45" s="86">
        <f t="shared" si="17"/>
        <v>4.5701033389038571E-3</v>
      </c>
      <c r="O45" s="86">
        <f t="shared" si="17"/>
        <v>1.3526719704996738E-2</v>
      </c>
      <c r="P45" s="86">
        <f t="shared" si="17"/>
        <v>1.0289196024832026E-2</v>
      </c>
      <c r="Q45" s="87">
        <f t="shared" si="18"/>
        <v>3.3705765227310995E-2</v>
      </c>
      <c r="R45" s="88">
        <v>5867.9999999965466</v>
      </c>
      <c r="S45" s="88">
        <v>1434</v>
      </c>
      <c r="T45" s="88">
        <v>7372</v>
      </c>
      <c r="U45" s="88">
        <v>494</v>
      </c>
      <c r="V45" s="89">
        <f t="shared" si="19"/>
        <v>4.6149780734174488E-3</v>
      </c>
      <c r="W45" s="89">
        <f t="shared" si="3"/>
        <v>4.8947325305152781E-3</v>
      </c>
      <c r="X45" s="89">
        <f t="shared" si="3"/>
        <v>1.4969622144968973E-2</v>
      </c>
      <c r="Y45" s="89">
        <f t="shared" si="3"/>
        <v>8.9975229491476034E-3</v>
      </c>
      <c r="Z45" s="80">
        <f t="shared" si="20"/>
        <v>3.3476855698049306E-2</v>
      </c>
      <c r="AA45" s="90">
        <f t="shared" si="27"/>
        <v>2.8455327343341909E-2</v>
      </c>
      <c r="AB45" s="80">
        <f t="shared" si="5"/>
        <v>-6.7914057941698752E-3</v>
      </c>
      <c r="AC45" s="80">
        <f t="shared" si="6"/>
        <v>-6.7914057941698752E-3</v>
      </c>
      <c r="AD45" s="81">
        <f t="shared" si="21"/>
        <v>1.2655134249997214E-3</v>
      </c>
      <c r="AE45" s="81">
        <f t="shared" si="28"/>
        <v>1.898270137499582E-4</v>
      </c>
      <c r="AF45" s="230">
        <f t="shared" si="8"/>
        <v>2.8645154357091869E-2</v>
      </c>
      <c r="AG45" s="82">
        <v>47161228</v>
      </c>
      <c r="AH45" s="82">
        <v>12921249</v>
      </c>
      <c r="AI45" s="91">
        <f t="shared" si="29"/>
        <v>0.27398033401505151</v>
      </c>
      <c r="AJ45" s="92">
        <f t="shared" si="22"/>
        <v>3540168.1169116502</v>
      </c>
      <c r="AK45" s="230">
        <f t="shared" si="23"/>
        <v>3.2470331450249758E-3</v>
      </c>
      <c r="AM45" s="93">
        <f t="shared" si="30"/>
        <v>35419940.522217594</v>
      </c>
      <c r="AN45" s="94">
        <f t="shared" si="31"/>
        <v>43294908.45968806</v>
      </c>
      <c r="AO45" s="94">
        <f t="shared" si="32"/>
        <v>5353785.1854562061</v>
      </c>
      <c r="AP45" s="94">
        <f t="shared" si="33"/>
        <v>84068634.167361856</v>
      </c>
      <c r="AQ45" s="95">
        <f t="shared" si="24"/>
        <v>1.5296111002358557E-2</v>
      </c>
    </row>
    <row r="46" spans="1:43" ht="14.25">
      <c r="A46" s="7" t="s">
        <v>39</v>
      </c>
      <c r="B46" s="79">
        <v>1135550</v>
      </c>
      <c r="C46" s="172">
        <f t="shared" si="25"/>
        <v>0.24402283205306677</v>
      </c>
      <c r="D46" s="81">
        <f t="shared" si="14"/>
        <v>0.20741940724510674</v>
      </c>
      <c r="E46" s="82">
        <v>323.60000000000002</v>
      </c>
      <c r="F46" s="169">
        <f t="shared" si="26"/>
        <v>5.0389176977814112E-3</v>
      </c>
      <c r="G46" s="83">
        <f t="shared" si="15"/>
        <v>7.558376546672117E-4</v>
      </c>
      <c r="H46" s="230">
        <f t="shared" si="16"/>
        <v>0.20817524489977396</v>
      </c>
      <c r="I46" s="84">
        <v>123398</v>
      </c>
      <c r="J46" s="85">
        <v>25536</v>
      </c>
      <c r="K46" s="85">
        <v>28126</v>
      </c>
      <c r="L46" s="85">
        <v>2378</v>
      </c>
      <c r="M46" s="86">
        <f t="shared" si="17"/>
        <v>7.2160716332445252E-2</v>
      </c>
      <c r="N46" s="86">
        <f t="shared" si="17"/>
        <v>7.2575969441697072E-2</v>
      </c>
      <c r="O46" s="86">
        <f t="shared" si="17"/>
        <v>2.104621997138564E-2</v>
      </c>
      <c r="P46" s="86">
        <f t="shared" si="17"/>
        <v>1.5187900774084766E-2</v>
      </c>
      <c r="Q46" s="87">
        <f t="shared" si="18"/>
        <v>0.18097080651961275</v>
      </c>
      <c r="R46" s="88">
        <v>88873.999998769097</v>
      </c>
      <c r="S46" s="88">
        <v>19246</v>
      </c>
      <c r="T46" s="88">
        <v>4982</v>
      </c>
      <c r="U46" s="88">
        <v>694</v>
      </c>
      <c r="V46" s="89">
        <f t="shared" si="19"/>
        <v>6.9896312421858064E-2</v>
      </c>
      <c r="W46" s="89">
        <f t="shared" si="3"/>
        <v>6.5693181507877993E-2</v>
      </c>
      <c r="X46" s="89">
        <f t="shared" si="3"/>
        <v>1.011647551902271E-2</v>
      </c>
      <c r="Y46" s="89">
        <f t="shared" si="3"/>
        <v>1.2640244790907766E-2</v>
      </c>
      <c r="Z46" s="80">
        <f t="shared" si="20"/>
        <v>0.15834621423966655</v>
      </c>
      <c r="AA46" s="90">
        <f t="shared" si="27"/>
        <v>0.13459428210371657</v>
      </c>
      <c r="AB46" s="80">
        <f t="shared" si="5"/>
        <v>-0.12501791153532965</v>
      </c>
      <c r="AC46" s="80">
        <f t="shared" si="6"/>
        <v>-0.12501791153532965</v>
      </c>
      <c r="AD46" s="81">
        <f t="shared" si="21"/>
        <v>2.329589045455142E-2</v>
      </c>
      <c r="AE46" s="81">
        <f t="shared" si="28"/>
        <v>3.4943835681827129E-3</v>
      </c>
      <c r="AF46" s="230">
        <f t="shared" si="8"/>
        <v>0.13808866567189929</v>
      </c>
      <c r="AG46" s="82">
        <v>1334465690</v>
      </c>
      <c r="AH46" s="82">
        <v>699624594.67999995</v>
      </c>
      <c r="AI46" s="91">
        <f t="shared" si="29"/>
        <v>0.52427319782196868</v>
      </c>
      <c r="AJ46" s="92">
        <f t="shared" si="22"/>
        <v>366794423.52778226</v>
      </c>
      <c r="AK46" s="230">
        <f t="shared" si="23"/>
        <v>0.33642290740814579</v>
      </c>
      <c r="AM46" s="93">
        <f t="shared" si="30"/>
        <v>486262724.81806958</v>
      </c>
      <c r="AN46" s="94">
        <f t="shared" si="31"/>
        <v>208710208.54196247</v>
      </c>
      <c r="AO46" s="94">
        <f t="shared" si="32"/>
        <v>554702061.01514304</v>
      </c>
      <c r="AP46" s="94">
        <f t="shared" si="33"/>
        <v>1249674994.375175</v>
      </c>
      <c r="AQ46" s="95">
        <f t="shared" si="24"/>
        <v>0.22737573436461997</v>
      </c>
    </row>
    <row r="47" spans="1:43" ht="14.25">
      <c r="A47" s="7" t="s">
        <v>40</v>
      </c>
      <c r="B47" s="79">
        <v>1034</v>
      </c>
      <c r="C47" s="172">
        <f t="shared" si="25"/>
        <v>2.2220035079289422E-4</v>
      </c>
      <c r="D47" s="81">
        <f t="shared" si="14"/>
        <v>1.8887029817396008E-4</v>
      </c>
      <c r="E47" s="82">
        <v>1172.6600000000001</v>
      </c>
      <c r="F47" s="169">
        <f t="shared" si="26"/>
        <v>1.8260003793202563E-2</v>
      </c>
      <c r="G47" s="83">
        <f t="shared" si="15"/>
        <v>2.7390005689803842E-3</v>
      </c>
      <c r="H47" s="230">
        <f t="shared" si="16"/>
        <v>2.9278708671543444E-3</v>
      </c>
      <c r="I47" s="84">
        <v>244</v>
      </c>
      <c r="J47" s="85">
        <v>60</v>
      </c>
      <c r="K47" s="85">
        <v>375</v>
      </c>
      <c r="L47" s="85">
        <v>47</v>
      </c>
      <c r="M47" s="86">
        <f t="shared" si="17"/>
        <v>1.4268638701694225E-4</v>
      </c>
      <c r="N47" s="86">
        <f t="shared" si="17"/>
        <v>1.7052624398894989E-4</v>
      </c>
      <c r="O47" s="86">
        <f t="shared" si="17"/>
        <v>2.8060628917263796E-4</v>
      </c>
      <c r="P47" s="86">
        <f t="shared" si="17"/>
        <v>3.0018138619932047E-4</v>
      </c>
      <c r="Q47" s="87">
        <f t="shared" si="18"/>
        <v>8.9400030637785065E-4</v>
      </c>
      <c r="R47" s="88">
        <v>95.999999999399989</v>
      </c>
      <c r="S47" s="88">
        <v>43</v>
      </c>
      <c r="T47" s="88">
        <v>84</v>
      </c>
      <c r="U47" s="88">
        <v>27</v>
      </c>
      <c r="V47" s="89">
        <f t="shared" si="19"/>
        <v>7.5500663777363118E-5</v>
      </c>
      <c r="W47" s="89">
        <f t="shared" si="3"/>
        <v>1.4677370907402855E-4</v>
      </c>
      <c r="X47" s="89">
        <f t="shared" si="3"/>
        <v>1.7057084375710711E-4</v>
      </c>
      <c r="Y47" s="89">
        <f t="shared" si="3"/>
        <v>4.91767448637622E-4</v>
      </c>
      <c r="Z47" s="80">
        <f t="shared" si="20"/>
        <v>8.8461266524612078E-4</v>
      </c>
      <c r="AA47" s="90">
        <f t="shared" si="27"/>
        <v>7.5192076545920264E-4</v>
      </c>
      <c r="AB47" s="80">
        <f t="shared" si="5"/>
        <v>-1.0500713550943872E-2</v>
      </c>
      <c r="AC47" s="80">
        <f t="shared" si="6"/>
        <v>-1.0500713550943872E-2</v>
      </c>
      <c r="AD47" s="81">
        <f t="shared" si="21"/>
        <v>1.9567073995495625E-3</v>
      </c>
      <c r="AE47" s="81">
        <f t="shared" si="28"/>
        <v>2.9350610993243438E-4</v>
      </c>
      <c r="AF47" s="230">
        <f t="shared" si="8"/>
        <v>1.0454268753916371E-3</v>
      </c>
      <c r="AG47" s="82">
        <v>1741263</v>
      </c>
      <c r="AH47" s="82">
        <v>464524</v>
      </c>
      <c r="AI47" s="91">
        <f t="shared" si="29"/>
        <v>0.26677417483745991</v>
      </c>
      <c r="AJ47" s="92">
        <f t="shared" si="22"/>
        <v>123923.00679219623</v>
      </c>
      <c r="AK47" s="230">
        <f t="shared" si="23"/>
        <v>1.1366186497279796E-4</v>
      </c>
      <c r="AM47" s="93">
        <f t="shared" si="30"/>
        <v>6839019.0508163609</v>
      </c>
      <c r="AN47" s="94">
        <f t="shared" si="31"/>
        <v>1580080.8858330667</v>
      </c>
      <c r="AO47" s="94">
        <f t="shared" si="32"/>
        <v>187408.37609713056</v>
      </c>
      <c r="AP47" s="94">
        <f t="shared" si="33"/>
        <v>8606508.3127465565</v>
      </c>
      <c r="AQ47" s="95">
        <f t="shared" si="24"/>
        <v>1.5659360687651357E-3</v>
      </c>
    </row>
    <row r="48" spans="1:43" ht="14.25">
      <c r="A48" s="7" t="s">
        <v>41</v>
      </c>
      <c r="B48" s="79">
        <v>20843</v>
      </c>
      <c r="C48" s="172">
        <f t="shared" si="25"/>
        <v>4.4790347307314257E-3</v>
      </c>
      <c r="D48" s="81">
        <f t="shared" si="14"/>
        <v>3.8071795211217117E-3</v>
      </c>
      <c r="E48" s="82">
        <v>308.89</v>
      </c>
      <c r="F48" s="169">
        <f t="shared" si="26"/>
        <v>4.8098618283921504E-3</v>
      </c>
      <c r="G48" s="83">
        <f t="shared" si="15"/>
        <v>7.2147927425882249E-4</v>
      </c>
      <c r="H48" s="230">
        <f t="shared" si="16"/>
        <v>4.5286587953805345E-3</v>
      </c>
      <c r="I48" s="84">
        <v>1423</v>
      </c>
      <c r="J48" s="85">
        <v>462</v>
      </c>
      <c r="K48" s="85">
        <v>3867</v>
      </c>
      <c r="L48" s="85">
        <v>358</v>
      </c>
      <c r="M48" s="86">
        <f t="shared" si="17"/>
        <v>8.3214233084060992E-4</v>
      </c>
      <c r="N48" s="86">
        <f t="shared" si="17"/>
        <v>1.3130520787149142E-3</v>
      </c>
      <c r="O48" s="86">
        <f t="shared" si="17"/>
        <v>2.8936120539482428E-3</v>
      </c>
      <c r="P48" s="86">
        <f t="shared" si="17"/>
        <v>2.286488005518228E-3</v>
      </c>
      <c r="Q48" s="87">
        <f t="shared" si="18"/>
        <v>7.3252944690219944E-3</v>
      </c>
      <c r="R48" s="88">
        <v>502.9999955589883</v>
      </c>
      <c r="S48" s="88">
        <v>435</v>
      </c>
      <c r="T48" s="88">
        <v>1115</v>
      </c>
      <c r="U48" s="88">
        <v>155</v>
      </c>
      <c r="V48" s="89">
        <f t="shared" si="19"/>
        <v>3.9559201609324664E-4</v>
      </c>
      <c r="W48" s="89">
        <f t="shared" si="3"/>
        <v>1.4848038010977307E-3</v>
      </c>
      <c r="X48" s="89">
        <f t="shared" si="3"/>
        <v>2.2641248903473147E-3</v>
      </c>
      <c r="Y48" s="89">
        <f t="shared" si="3"/>
        <v>2.8231094273641266E-3</v>
      </c>
      <c r="Z48" s="80">
        <f t="shared" si="20"/>
        <v>6.9676301349024189E-3</v>
      </c>
      <c r="AA48" s="90">
        <f t="shared" si="27"/>
        <v>5.9224856146670559E-3</v>
      </c>
      <c r="AB48" s="80">
        <f t="shared" si="5"/>
        <v>-4.8825932613645158E-2</v>
      </c>
      <c r="AC48" s="80">
        <f t="shared" si="6"/>
        <v>-4.8825932613645158E-2</v>
      </c>
      <c r="AD48" s="81">
        <f t="shared" si="21"/>
        <v>9.0982449117888945E-3</v>
      </c>
      <c r="AE48" s="81">
        <f t="shared" si="28"/>
        <v>1.3647367367683341E-3</v>
      </c>
      <c r="AF48" s="230">
        <f t="shared" si="8"/>
        <v>7.2872223514353898E-3</v>
      </c>
      <c r="AG48" s="82">
        <v>49692400</v>
      </c>
      <c r="AH48" s="82">
        <v>9362618</v>
      </c>
      <c r="AI48" s="91">
        <f t="shared" si="29"/>
        <v>0.18841146734711947</v>
      </c>
      <c r="AJ48" s="92">
        <f t="shared" si="22"/>
        <v>1764024.595590553</v>
      </c>
      <c r="AK48" s="230">
        <f t="shared" si="23"/>
        <v>1.6179588486658163E-3</v>
      </c>
      <c r="AM48" s="93">
        <f t="shared" si="30"/>
        <v>10578193.226928907</v>
      </c>
      <c r="AN48" s="94">
        <f t="shared" si="31"/>
        <v>11014066.138298804</v>
      </c>
      <c r="AO48" s="94">
        <f t="shared" si="32"/>
        <v>2667728.8859637426</v>
      </c>
      <c r="AP48" s="94">
        <f t="shared" si="33"/>
        <v>24259988.251191452</v>
      </c>
      <c r="AQ48" s="95">
        <f t="shared" si="24"/>
        <v>4.414053789281204E-3</v>
      </c>
    </row>
    <row r="49" spans="1:43" ht="14.25">
      <c r="A49" s="7" t="s">
        <v>42</v>
      </c>
      <c r="B49" s="79">
        <v>5359</v>
      </c>
      <c r="C49" s="172">
        <f t="shared" si="25"/>
        <v>1.1516167117012767E-3</v>
      </c>
      <c r="D49" s="81">
        <f t="shared" si="14"/>
        <v>9.788742049460853E-4</v>
      </c>
      <c r="E49" s="82">
        <v>1341.58</v>
      </c>
      <c r="F49" s="169">
        <f t="shared" si="26"/>
        <v>2.089033128859575E-2</v>
      </c>
      <c r="G49" s="83">
        <f t="shared" si="15"/>
        <v>3.1335496932893623E-3</v>
      </c>
      <c r="H49" s="230">
        <f t="shared" si="16"/>
        <v>4.1124238982354474E-3</v>
      </c>
      <c r="I49" s="84">
        <v>1104</v>
      </c>
      <c r="J49" s="85">
        <v>274</v>
      </c>
      <c r="K49" s="85">
        <v>2326</v>
      </c>
      <c r="L49" s="85">
        <v>140</v>
      </c>
      <c r="M49" s="86">
        <f t="shared" si="17"/>
        <v>6.4559742322419769E-4</v>
      </c>
      <c r="N49" s="86">
        <f t="shared" si="17"/>
        <v>7.7873651421620459E-4</v>
      </c>
      <c r="O49" s="86">
        <f t="shared" si="17"/>
        <v>1.7405072763081492E-3</v>
      </c>
      <c r="P49" s="86">
        <f t="shared" si="17"/>
        <v>8.9415732059372043E-4</v>
      </c>
      <c r="Q49" s="87">
        <f t="shared" si="18"/>
        <v>4.0589985343422721E-3</v>
      </c>
      <c r="R49" s="88">
        <v>511.00000000414997</v>
      </c>
      <c r="S49" s="88">
        <v>264</v>
      </c>
      <c r="T49" s="88">
        <v>999</v>
      </c>
      <c r="U49" s="88">
        <v>49</v>
      </c>
      <c r="V49" s="89">
        <f t="shared" si="19"/>
        <v>4.0188374157069809E-4</v>
      </c>
      <c r="W49" s="89">
        <f t="shared" si="3"/>
        <v>9.0112230687310556E-4</v>
      </c>
      <c r="X49" s="89">
        <f t="shared" si="3"/>
        <v>2.028574677539881E-3</v>
      </c>
      <c r="Y49" s="89">
        <f t="shared" si="3"/>
        <v>8.9246685123123997E-4</v>
      </c>
      <c r="Z49" s="80">
        <f t="shared" si="20"/>
        <v>4.2240475772149242E-3</v>
      </c>
      <c r="AA49" s="90">
        <f t="shared" si="27"/>
        <v>3.5904404406326856E-3</v>
      </c>
      <c r="AB49" s="80">
        <f t="shared" si="5"/>
        <v>4.066250368809185E-2</v>
      </c>
      <c r="AC49" s="80">
        <f t="shared" si="6"/>
        <v>0</v>
      </c>
      <c r="AD49" s="81">
        <f t="shared" si="21"/>
        <v>0</v>
      </c>
      <c r="AE49" s="81">
        <f t="shared" si="28"/>
        <v>0</v>
      </c>
      <c r="AF49" s="230">
        <f t="shared" si="8"/>
        <v>3.5904404406326856E-3</v>
      </c>
      <c r="AG49" s="82">
        <v>2618348</v>
      </c>
      <c r="AH49" s="82">
        <v>650988</v>
      </c>
      <c r="AI49" s="91">
        <f t="shared" si="29"/>
        <v>0.24862546918896952</v>
      </c>
      <c r="AJ49" s="92">
        <f t="shared" si="22"/>
        <v>161852.19693638888</v>
      </c>
      <c r="AK49" s="230">
        <f t="shared" si="23"/>
        <v>1.4845042119243518E-4</v>
      </c>
      <c r="AM49" s="93">
        <f t="shared" si="30"/>
        <v>9605937.7824951354</v>
      </c>
      <c r="AN49" s="94">
        <f t="shared" si="31"/>
        <v>5426669.6652890947</v>
      </c>
      <c r="AO49" s="94">
        <f t="shared" si="32"/>
        <v>244768.5718800016</v>
      </c>
      <c r="AP49" s="94">
        <f t="shared" si="33"/>
        <v>15277376.019664232</v>
      </c>
      <c r="AQ49" s="95">
        <f t="shared" si="24"/>
        <v>2.7796864042817842E-3</v>
      </c>
    </row>
    <row r="50" spans="1:43" ht="14.25">
      <c r="A50" s="7" t="s">
        <v>43</v>
      </c>
      <c r="B50" s="79">
        <v>2628</v>
      </c>
      <c r="C50" s="172">
        <f t="shared" si="25"/>
        <v>5.6474131710224952E-4</v>
      </c>
      <c r="D50" s="81">
        <f t="shared" si="14"/>
        <v>4.800301195369121E-4</v>
      </c>
      <c r="E50" s="82">
        <v>673.76</v>
      </c>
      <c r="F50" s="169">
        <f t="shared" si="26"/>
        <v>1.0491412818470961E-2</v>
      </c>
      <c r="G50" s="83">
        <f t="shared" si="15"/>
        <v>1.5737119227706442E-3</v>
      </c>
      <c r="H50" s="230">
        <f t="shared" si="16"/>
        <v>2.0537420423075562E-3</v>
      </c>
      <c r="I50" s="84">
        <v>671</v>
      </c>
      <c r="J50" s="85">
        <v>247</v>
      </c>
      <c r="K50" s="85">
        <v>1766</v>
      </c>
      <c r="L50" s="85">
        <v>574</v>
      </c>
      <c r="M50" s="86">
        <f t="shared" si="17"/>
        <v>3.9238756429659118E-4</v>
      </c>
      <c r="N50" s="86">
        <f t="shared" si="17"/>
        <v>7.0199970442117712E-4</v>
      </c>
      <c r="O50" s="86">
        <f t="shared" si="17"/>
        <v>1.3214685511436764E-3</v>
      </c>
      <c r="P50" s="86">
        <f t="shared" si="17"/>
        <v>3.6660450144342539E-3</v>
      </c>
      <c r="Q50" s="87">
        <f t="shared" si="18"/>
        <v>6.0819008342956988E-3</v>
      </c>
      <c r="R50" s="88">
        <v>600.99999999995009</v>
      </c>
      <c r="S50" s="88">
        <v>212</v>
      </c>
      <c r="T50" s="88">
        <v>872</v>
      </c>
      <c r="U50" s="88">
        <v>90</v>
      </c>
      <c r="V50" s="89">
        <f t="shared" si="19"/>
        <v>4.7266561385911533E-4</v>
      </c>
      <c r="W50" s="89">
        <f t="shared" si="3"/>
        <v>7.2362851915567573E-4</v>
      </c>
      <c r="X50" s="89">
        <f t="shared" si="3"/>
        <v>1.7706878066213977E-3</v>
      </c>
      <c r="Y50" s="89">
        <f t="shared" si="3"/>
        <v>1.6392248287920735E-3</v>
      </c>
      <c r="Z50" s="80">
        <f t="shared" si="20"/>
        <v>4.6062067684282618E-3</v>
      </c>
      <c r="AA50" s="90">
        <f t="shared" si="27"/>
        <v>3.9152757531640226E-3</v>
      </c>
      <c r="AB50" s="80">
        <f t="shared" si="5"/>
        <v>-0.24263698242924844</v>
      </c>
      <c r="AC50" s="80">
        <f t="shared" si="6"/>
        <v>-0.24263698242924844</v>
      </c>
      <c r="AD50" s="81">
        <f t="shared" si="21"/>
        <v>4.5213077818031917E-2</v>
      </c>
      <c r="AE50" s="81">
        <f t="shared" si="28"/>
        <v>6.7819616727047873E-3</v>
      </c>
      <c r="AF50" s="230">
        <f t="shared" si="8"/>
        <v>1.0697237425868811E-2</v>
      </c>
      <c r="AG50" s="82">
        <v>981068</v>
      </c>
      <c r="AH50" s="82">
        <v>193913</v>
      </c>
      <c r="AI50" s="91">
        <f t="shared" si="29"/>
        <v>0.19765500454606613</v>
      </c>
      <c r="AJ50" s="92">
        <f t="shared" si="22"/>
        <v>38327.874896541325</v>
      </c>
      <c r="AK50" s="230">
        <f t="shared" si="23"/>
        <v>3.5154228855099953E-5</v>
      </c>
      <c r="AM50" s="93">
        <f t="shared" si="30"/>
        <v>4797199.6000134582</v>
      </c>
      <c r="AN50" s="94">
        <f t="shared" si="31"/>
        <v>16168036.986328116</v>
      </c>
      <c r="AO50" s="94">
        <f t="shared" si="32"/>
        <v>57963.125488552272</v>
      </c>
      <c r="AP50" s="94">
        <f t="shared" si="33"/>
        <v>21023199.711830128</v>
      </c>
      <c r="AQ50" s="95">
        <f t="shared" si="24"/>
        <v>3.8251269287511648E-3</v>
      </c>
    </row>
    <row r="51" spans="1:43" ht="14.25">
      <c r="A51" s="7" t="s">
        <v>44</v>
      </c>
      <c r="B51" s="79">
        <v>34671</v>
      </c>
      <c r="C51" s="172">
        <f t="shared" si="25"/>
        <v>7.4505883581628971E-3</v>
      </c>
      <c r="D51" s="81">
        <f t="shared" si="14"/>
        <v>6.3330001044384623E-3</v>
      </c>
      <c r="E51" s="82">
        <v>1542.15</v>
      </c>
      <c r="F51" s="169">
        <f t="shared" si="26"/>
        <v>2.4013494831995066E-2</v>
      </c>
      <c r="G51" s="83">
        <f t="shared" si="15"/>
        <v>3.6020242247992596E-3</v>
      </c>
      <c r="H51" s="230">
        <f t="shared" si="16"/>
        <v>9.9350243292377211E-3</v>
      </c>
      <c r="I51" s="84">
        <v>4789</v>
      </c>
      <c r="J51" s="85">
        <v>909</v>
      </c>
      <c r="K51" s="85">
        <v>4749</v>
      </c>
      <c r="L51" s="85">
        <v>258</v>
      </c>
      <c r="M51" s="86">
        <f t="shared" si="17"/>
        <v>2.8005127353448217E-3</v>
      </c>
      <c r="N51" s="86">
        <f t="shared" si="17"/>
        <v>2.5834725964325911E-3</v>
      </c>
      <c r="O51" s="86">
        <f t="shared" si="17"/>
        <v>3.5535980460822871E-3</v>
      </c>
      <c r="P51" s="86">
        <f t="shared" si="17"/>
        <v>1.6478042050941421E-3</v>
      </c>
      <c r="Q51" s="87">
        <f t="shared" si="18"/>
        <v>1.0585387582953843E-2</v>
      </c>
      <c r="R51" s="88">
        <v>3480.0000000606401</v>
      </c>
      <c r="S51" s="88">
        <v>841</v>
      </c>
      <c r="T51" s="88">
        <v>1534</v>
      </c>
      <c r="U51" s="88">
        <v>182</v>
      </c>
      <c r="V51" s="89">
        <f t="shared" si="19"/>
        <v>2.7368990619942106E-3</v>
      </c>
      <c r="W51" s="89">
        <f t="shared" si="3"/>
        <v>2.8706206821222796E-3</v>
      </c>
      <c r="X51" s="89">
        <f t="shared" si="3"/>
        <v>3.1149485038500274E-3</v>
      </c>
      <c r="Y51" s="89">
        <f t="shared" si="3"/>
        <v>3.3148768760017486E-3</v>
      </c>
      <c r="Z51" s="80">
        <f t="shared" si="20"/>
        <v>1.2037345123968266E-2</v>
      </c>
      <c r="AA51" s="90">
        <f t="shared" si="27"/>
        <v>1.0231743355373026E-2</v>
      </c>
      <c r="AB51" s="80">
        <f t="shared" si="5"/>
        <v>0.1371662142397676</v>
      </c>
      <c r="AC51" s="80">
        <f t="shared" si="6"/>
        <v>0</v>
      </c>
      <c r="AD51" s="81">
        <f t="shared" si="21"/>
        <v>0</v>
      </c>
      <c r="AE51" s="81">
        <f t="shared" si="28"/>
        <v>0</v>
      </c>
      <c r="AF51" s="230">
        <f t="shared" si="8"/>
        <v>1.0231743355373026E-2</v>
      </c>
      <c r="AG51" s="82">
        <v>16749276</v>
      </c>
      <c r="AH51" s="82">
        <v>5800106</v>
      </c>
      <c r="AI51" s="91">
        <f t="shared" si="29"/>
        <v>0.34628995307021032</v>
      </c>
      <c r="AJ51" s="92">
        <f t="shared" si="22"/>
        <v>2008518.4345422452</v>
      </c>
      <c r="AK51" s="230">
        <f t="shared" si="23"/>
        <v>1.8422079726094281E-3</v>
      </c>
      <c r="AM51" s="93">
        <f t="shared" si="30"/>
        <v>23206563.315416537</v>
      </c>
      <c r="AN51" s="94">
        <f t="shared" si="31"/>
        <v>15464479.137785643</v>
      </c>
      <c r="AO51" s="94">
        <f t="shared" si="32"/>
        <v>3037476.1549315215</v>
      </c>
      <c r="AP51" s="94">
        <f t="shared" si="33"/>
        <v>41708518.608133703</v>
      </c>
      <c r="AQ51" s="95">
        <f t="shared" si="24"/>
        <v>7.5887771544364425E-3</v>
      </c>
    </row>
    <row r="52" spans="1:43" ht="14.25">
      <c r="A52" s="7" t="s">
        <v>45</v>
      </c>
      <c r="B52" s="79">
        <v>32660</v>
      </c>
      <c r="C52" s="172">
        <f t="shared" si="25"/>
        <v>7.018436612085034E-3</v>
      </c>
      <c r="D52" s="81">
        <f t="shared" si="14"/>
        <v>5.9656711202722788E-3</v>
      </c>
      <c r="E52" s="82">
        <v>1658.08</v>
      </c>
      <c r="F52" s="169">
        <f t="shared" si="26"/>
        <v>2.5818691768656987E-2</v>
      </c>
      <c r="G52" s="83">
        <f t="shared" si="15"/>
        <v>3.8728037652985478E-3</v>
      </c>
      <c r="H52" s="230">
        <f t="shared" si="16"/>
        <v>9.8384748855708266E-3</v>
      </c>
      <c r="I52" s="84">
        <v>2382</v>
      </c>
      <c r="J52" s="85">
        <v>572</v>
      </c>
      <c r="K52" s="85">
        <v>6969</v>
      </c>
      <c r="L52" s="85">
        <v>1381</v>
      </c>
      <c r="M52" s="86">
        <f t="shared" si="17"/>
        <v>1.3929466142391658E-3</v>
      </c>
      <c r="N52" s="86">
        <f t="shared" si="17"/>
        <v>1.6256835260279891E-3</v>
      </c>
      <c r="O52" s="86">
        <f t="shared" si="17"/>
        <v>5.2147872779843042E-3</v>
      </c>
      <c r="P52" s="86">
        <f t="shared" si="17"/>
        <v>8.8202232838566277E-3</v>
      </c>
      <c r="Q52" s="87">
        <f t="shared" si="18"/>
        <v>1.7053640702108089E-2</v>
      </c>
      <c r="R52" s="88">
        <v>1795.99999997852</v>
      </c>
      <c r="S52" s="88">
        <v>775</v>
      </c>
      <c r="T52" s="88">
        <v>2276</v>
      </c>
      <c r="U52" s="88">
        <v>675</v>
      </c>
      <c r="V52" s="89">
        <f t="shared" si="19"/>
        <v>1.41249158482677E-3</v>
      </c>
      <c r="W52" s="89">
        <f t="shared" si="3"/>
        <v>2.6453401054040032E-3</v>
      </c>
      <c r="X52" s="89">
        <f t="shared" si="3"/>
        <v>4.6216576237044739E-3</v>
      </c>
      <c r="Y52" s="89">
        <f t="shared" si="3"/>
        <v>1.2294186215940551E-2</v>
      </c>
      <c r="Z52" s="80">
        <f t="shared" si="20"/>
        <v>2.09736755298758E-2</v>
      </c>
      <c r="AA52" s="90">
        <f t="shared" si="27"/>
        <v>1.782762420039443E-2</v>
      </c>
      <c r="AB52" s="80">
        <f t="shared" si="5"/>
        <v>0.22986498286451734</v>
      </c>
      <c r="AC52" s="80">
        <f t="shared" si="6"/>
        <v>0</v>
      </c>
      <c r="AD52" s="81">
        <f t="shared" si="21"/>
        <v>0</v>
      </c>
      <c r="AE52" s="81">
        <f t="shared" si="28"/>
        <v>0</v>
      </c>
      <c r="AF52" s="230">
        <f t="shared" si="8"/>
        <v>1.782762420039443E-2</v>
      </c>
      <c r="AG52" s="82">
        <v>108243871</v>
      </c>
      <c r="AH52" s="82">
        <v>14354998.760000002</v>
      </c>
      <c r="AI52" s="91">
        <f t="shared" si="29"/>
        <v>0.13261719695889296</v>
      </c>
      <c r="AJ52" s="92">
        <f t="shared" si="22"/>
        <v>1903719.6978995844</v>
      </c>
      <c r="AK52" s="230">
        <f t="shared" si="23"/>
        <v>1.7460868393192048E-3</v>
      </c>
      <c r="AM52" s="93">
        <f t="shared" si="30"/>
        <v>22981039.884041514</v>
      </c>
      <c r="AN52" s="94">
        <f t="shared" si="31"/>
        <v>26945058.427262608</v>
      </c>
      <c r="AO52" s="94">
        <f t="shared" si="32"/>
        <v>2878989.3528466905</v>
      </c>
      <c r="AP52" s="94">
        <f t="shared" si="33"/>
        <v>52805087.664150812</v>
      </c>
      <c r="AQ52" s="95">
        <f t="shared" si="24"/>
        <v>9.6077745332718307E-3</v>
      </c>
    </row>
    <row r="53" spans="1:43" ht="14.25">
      <c r="A53" s="7" t="s">
        <v>46</v>
      </c>
      <c r="B53" s="79">
        <v>443273</v>
      </c>
      <c r="C53" s="172">
        <f t="shared" si="25"/>
        <v>9.5256688681836177E-2</v>
      </c>
      <c r="D53" s="81">
        <f t="shared" si="14"/>
        <v>8.0968185379560742E-2</v>
      </c>
      <c r="E53" s="82">
        <v>60.1</v>
      </c>
      <c r="F53" s="169">
        <f t="shared" si="26"/>
        <v>9.3584349084259205E-4</v>
      </c>
      <c r="G53" s="83">
        <f t="shared" si="15"/>
        <v>1.403765236263888E-4</v>
      </c>
      <c r="H53" s="230">
        <f t="shared" si="16"/>
        <v>8.1108561903187132E-2</v>
      </c>
      <c r="I53" s="84">
        <v>40580</v>
      </c>
      <c r="J53" s="85">
        <v>5745</v>
      </c>
      <c r="K53" s="85">
        <v>2165</v>
      </c>
      <c r="L53" s="85">
        <v>472</v>
      </c>
      <c r="M53" s="86">
        <f t="shared" si="17"/>
        <v>2.3730383545686545E-2</v>
      </c>
      <c r="N53" s="86">
        <f t="shared" si="17"/>
        <v>1.6327887861941955E-2</v>
      </c>
      <c r="O53" s="86">
        <f t="shared" si="17"/>
        <v>1.6200336428233632E-3</v>
      </c>
      <c r="P53" s="86">
        <f t="shared" si="17"/>
        <v>3.0145875380016862E-3</v>
      </c>
      <c r="Q53" s="87">
        <f t="shared" si="18"/>
        <v>4.4692892588453548E-2</v>
      </c>
      <c r="R53" s="88">
        <v>18155.999999995089</v>
      </c>
      <c r="S53" s="88">
        <v>4217</v>
      </c>
      <c r="T53" s="88">
        <v>161</v>
      </c>
      <c r="U53" s="88">
        <v>91</v>
      </c>
      <c r="V53" s="89">
        <f t="shared" si="19"/>
        <v>1.4279063036979183E-2</v>
      </c>
      <c r="W53" s="89">
        <f t="shared" si="3"/>
        <v>1.4394063515469267E-2</v>
      </c>
      <c r="X53" s="89">
        <f t="shared" si="3"/>
        <v>3.2692745053445531E-4</v>
      </c>
      <c r="Y53" s="89">
        <f t="shared" si="3"/>
        <v>1.6574384380008743E-3</v>
      </c>
      <c r="Z53" s="80">
        <f t="shared" si="20"/>
        <v>3.0657492440983779E-2</v>
      </c>
      <c r="AA53" s="90">
        <f t="shared" si="27"/>
        <v>2.6058868574836212E-2</v>
      </c>
      <c r="AB53" s="80">
        <f t="shared" si="5"/>
        <v>-0.3140409880540117</v>
      </c>
      <c r="AC53" s="80">
        <f t="shared" si="6"/>
        <v>-0.3140409880540117</v>
      </c>
      <c r="AD53" s="81">
        <f t="shared" si="21"/>
        <v>5.8518530393766088E-2</v>
      </c>
      <c r="AE53" s="81">
        <f t="shared" si="28"/>
        <v>8.7777795590649136E-3</v>
      </c>
      <c r="AF53" s="230">
        <f t="shared" si="8"/>
        <v>3.4836648133901124E-2</v>
      </c>
      <c r="AG53" s="82">
        <v>492137958</v>
      </c>
      <c r="AH53" s="82">
        <v>245555607.23999998</v>
      </c>
      <c r="AI53" s="91">
        <f t="shared" si="29"/>
        <v>0.49895685396410733</v>
      </c>
      <c r="AJ53" s="92">
        <f t="shared" si="22"/>
        <v>122521653.26171637</v>
      </c>
      <c r="AK53" s="230">
        <f t="shared" si="23"/>
        <v>0.11237654709774308</v>
      </c>
      <c r="AM53" s="93">
        <f t="shared" si="30"/>
        <v>189456101.45004165</v>
      </c>
      <c r="AN53" s="94">
        <f t="shared" si="31"/>
        <v>52652866.631392576</v>
      </c>
      <c r="AO53" s="94">
        <f t="shared" si="32"/>
        <v>185289113.53012714</v>
      </c>
      <c r="AP53" s="94">
        <f t="shared" si="33"/>
        <v>427398081.61156136</v>
      </c>
      <c r="AQ53" s="95">
        <f t="shared" si="24"/>
        <v>7.7764181175000266E-2</v>
      </c>
    </row>
    <row r="54" spans="1:43" ht="14.25">
      <c r="A54" s="7" t="s">
        <v>47</v>
      </c>
      <c r="B54" s="79">
        <v>122659</v>
      </c>
      <c r="C54" s="172">
        <f t="shared" si="25"/>
        <v>2.6358677783274286E-2</v>
      </c>
      <c r="D54" s="81">
        <f t="shared" si="14"/>
        <v>2.2404876115783144E-2</v>
      </c>
      <c r="E54" s="82">
        <v>72.010000000000005</v>
      </c>
      <c r="F54" s="169">
        <f t="shared" si="26"/>
        <v>1.1212993307084037E-3</v>
      </c>
      <c r="G54" s="83">
        <f t="shared" si="15"/>
        <v>1.6819489960626053E-4</v>
      </c>
      <c r="H54" s="230">
        <f t="shared" si="16"/>
        <v>2.2573071015389405E-2</v>
      </c>
      <c r="I54" s="84">
        <v>9903</v>
      </c>
      <c r="J54" s="85">
        <v>1776</v>
      </c>
      <c r="K54" s="85">
        <v>642</v>
      </c>
      <c r="L54" s="85">
        <v>85</v>
      </c>
      <c r="M54" s="86">
        <f t="shared" si="17"/>
        <v>5.7910790599540133E-3</v>
      </c>
      <c r="N54" s="86">
        <f t="shared" si="17"/>
        <v>5.0475768220729174E-3</v>
      </c>
      <c r="O54" s="86">
        <f t="shared" si="17"/>
        <v>4.8039796706355622E-4</v>
      </c>
      <c r="P54" s="86">
        <f t="shared" si="17"/>
        <v>5.4288123036047315E-4</v>
      </c>
      <c r="Q54" s="87">
        <f t="shared" si="18"/>
        <v>1.186193507945096E-2</v>
      </c>
      <c r="R54" s="88">
        <v>4908.0000000006539</v>
      </c>
      <c r="S54" s="88">
        <v>1283</v>
      </c>
      <c r="T54" s="88">
        <v>140</v>
      </c>
      <c r="U54" s="88">
        <v>21</v>
      </c>
      <c r="V54" s="89">
        <f t="shared" si="19"/>
        <v>3.8599714356423293E-3</v>
      </c>
      <c r="W54" s="89">
        <f t="shared" si="3"/>
        <v>4.3793178777204334E-3</v>
      </c>
      <c r="X54" s="89">
        <f t="shared" si="3"/>
        <v>2.8428473959517855E-4</v>
      </c>
      <c r="Y54" s="89">
        <f t="shared" si="3"/>
        <v>3.8248579338481716E-4</v>
      </c>
      <c r="Z54" s="80">
        <f t="shared" si="20"/>
        <v>8.9060598463427572E-3</v>
      </c>
      <c r="AA54" s="90">
        <f t="shared" si="27"/>
        <v>7.5701508693913431E-3</v>
      </c>
      <c r="AB54" s="80">
        <f t="shared" si="5"/>
        <v>-0.24918996886341233</v>
      </c>
      <c r="AC54" s="80">
        <f t="shared" si="6"/>
        <v>-0.24918996886341233</v>
      </c>
      <c r="AD54" s="81">
        <f t="shared" si="21"/>
        <v>4.6434164078757868E-2</v>
      </c>
      <c r="AE54" s="81">
        <f t="shared" si="28"/>
        <v>6.9651246118136801E-3</v>
      </c>
      <c r="AF54" s="230">
        <f t="shared" si="8"/>
        <v>1.4535275481205024E-2</v>
      </c>
      <c r="AG54" s="82">
        <v>676597875</v>
      </c>
      <c r="AH54" s="82">
        <v>463354390.29000002</v>
      </c>
      <c r="AI54" s="91">
        <f t="shared" si="29"/>
        <v>0.6848298042467249</v>
      </c>
      <c r="AJ54" s="92">
        <f t="shared" si="22"/>
        <v>317318896.39916128</v>
      </c>
      <c r="AK54" s="230">
        <f t="shared" si="23"/>
        <v>0.29104408042905855</v>
      </c>
      <c r="AM54" s="93">
        <f t="shared" si="30"/>
        <v>52726936.983980261</v>
      </c>
      <c r="AN54" s="94">
        <f t="shared" si="31"/>
        <v>21968931.064227939</v>
      </c>
      <c r="AO54" s="94">
        <f t="shared" si="32"/>
        <v>479880375.87581593</v>
      </c>
      <c r="AP54" s="94">
        <f t="shared" si="33"/>
        <v>554576243.92402411</v>
      </c>
      <c r="AQ54" s="95">
        <f t="shared" si="24"/>
        <v>0.10090398006758942</v>
      </c>
    </row>
    <row r="55" spans="1:43" ht="14.25">
      <c r="A55" s="7" t="s">
        <v>48</v>
      </c>
      <c r="B55" s="79">
        <v>268955</v>
      </c>
      <c r="C55" s="172">
        <f t="shared" si="25"/>
        <v>5.7796804011124629E-2</v>
      </c>
      <c r="D55" s="81">
        <f t="shared" si="14"/>
        <v>4.9127283409455935E-2</v>
      </c>
      <c r="E55" s="82">
        <v>885.01</v>
      </c>
      <c r="F55" s="169">
        <f t="shared" si="26"/>
        <v>1.3780879331624E-2</v>
      </c>
      <c r="G55" s="83">
        <f t="shared" si="15"/>
        <v>2.0671318997435998E-3</v>
      </c>
      <c r="H55" s="230">
        <f t="shared" si="16"/>
        <v>5.1194415309199534E-2</v>
      </c>
      <c r="I55" s="84">
        <v>25924</v>
      </c>
      <c r="J55" s="85">
        <v>5313</v>
      </c>
      <c r="K55" s="85">
        <v>11983</v>
      </c>
      <c r="L55" s="85">
        <v>721</v>
      </c>
      <c r="M55" s="86">
        <f t="shared" si="17"/>
        <v>1.5159843840275454E-2</v>
      </c>
      <c r="N55" s="86">
        <f t="shared" si="17"/>
        <v>1.5100098905221513E-2</v>
      </c>
      <c r="O55" s="86">
        <f t="shared" si="17"/>
        <v>8.9666804350819213E-3</v>
      </c>
      <c r="P55" s="86">
        <f t="shared" si="17"/>
        <v>4.6049102010576604E-3</v>
      </c>
      <c r="Q55" s="87">
        <f t="shared" si="18"/>
        <v>4.3831533381636548E-2</v>
      </c>
      <c r="R55" s="88">
        <v>21053.000000219407</v>
      </c>
      <c r="S55" s="88">
        <v>4306</v>
      </c>
      <c r="T55" s="88">
        <v>2328</v>
      </c>
      <c r="U55" s="88">
        <v>359</v>
      </c>
      <c r="V55" s="89">
        <f t="shared" si="19"/>
        <v>1.655745285970131E-2</v>
      </c>
      <c r="W55" s="89">
        <f t="shared" si="3"/>
        <v>1.4697850959831791E-2</v>
      </c>
      <c r="X55" s="89">
        <f t="shared" si="3"/>
        <v>4.7272490984112542E-3</v>
      </c>
      <c r="Y55" s="89">
        <f t="shared" si="3"/>
        <v>6.5386857059594929E-3</v>
      </c>
      <c r="Z55" s="80">
        <f t="shared" si="20"/>
        <v>4.2521238623903848E-2</v>
      </c>
      <c r="AA55" s="90">
        <f t="shared" si="27"/>
        <v>3.6143052830318267E-2</v>
      </c>
      <c r="AB55" s="80">
        <f t="shared" si="5"/>
        <v>-2.9893883618537846E-2</v>
      </c>
      <c r="AC55" s="80">
        <f t="shared" si="6"/>
        <v>-2.9893883618537846E-2</v>
      </c>
      <c r="AD55" s="81">
        <f t="shared" si="21"/>
        <v>5.5704389034027758E-3</v>
      </c>
      <c r="AE55" s="81">
        <f t="shared" si="28"/>
        <v>8.3556583551041631E-4</v>
      </c>
      <c r="AF55" s="230">
        <f t="shared" si="8"/>
        <v>3.6978618665828682E-2</v>
      </c>
      <c r="AG55" s="82">
        <v>205448481</v>
      </c>
      <c r="AH55" s="82">
        <v>90712185.010000005</v>
      </c>
      <c r="AI55" s="91">
        <f t="shared" si="29"/>
        <v>0.44153251739057642</v>
      </c>
      <c r="AJ55" s="92">
        <f t="shared" si="22"/>
        <v>40052379.405465014</v>
      </c>
      <c r="AK55" s="230">
        <f t="shared" si="23"/>
        <v>3.6735939981323282E-2</v>
      </c>
      <c r="AM55" s="93">
        <f t="shared" si="30"/>
        <v>119581633.71300201</v>
      </c>
      <c r="AN55" s="94">
        <f t="shared" si="31"/>
        <v>55890287.416321725</v>
      </c>
      <c r="AO55" s="94">
        <f t="shared" si="32"/>
        <v>60571088.270891093</v>
      </c>
      <c r="AP55" s="94">
        <f t="shared" si="33"/>
        <v>236043009.40021482</v>
      </c>
      <c r="AQ55" s="95">
        <f t="shared" si="24"/>
        <v>4.2947528633909673E-2</v>
      </c>
    </row>
    <row r="56" spans="1:43" ht="14.25">
      <c r="A56" s="7" t="s">
        <v>49</v>
      </c>
      <c r="B56" s="79">
        <v>40469</v>
      </c>
      <c r="C56" s="172">
        <f t="shared" si="25"/>
        <v>8.6965435166708287E-3</v>
      </c>
      <c r="D56" s="81">
        <f t="shared" si="14"/>
        <v>7.3920619891702042E-3</v>
      </c>
      <c r="E56" s="82">
        <v>746.48</v>
      </c>
      <c r="F56" s="169">
        <f t="shared" si="26"/>
        <v>1.1623767870951384E-2</v>
      </c>
      <c r="G56" s="83">
        <f t="shared" si="15"/>
        <v>1.7435651806427075E-3</v>
      </c>
      <c r="H56" s="230">
        <f t="shared" si="16"/>
        <v>9.1356271698129123E-3</v>
      </c>
      <c r="I56" s="84">
        <v>4577</v>
      </c>
      <c r="J56" s="85">
        <v>1003</v>
      </c>
      <c r="K56" s="85">
        <v>3403</v>
      </c>
      <c r="L56" s="85">
        <v>757</v>
      </c>
      <c r="M56" s="86">
        <f t="shared" si="17"/>
        <v>2.6765393171169867E-3</v>
      </c>
      <c r="N56" s="86">
        <f t="shared" si="17"/>
        <v>2.8506303786819459E-3</v>
      </c>
      <c r="O56" s="86">
        <f t="shared" si="17"/>
        <v>2.5464085388119655E-3</v>
      </c>
      <c r="P56" s="86">
        <f t="shared" si="17"/>
        <v>4.8348363692103311E-3</v>
      </c>
      <c r="Q56" s="87">
        <f t="shared" si="18"/>
        <v>1.2908414603821229E-2</v>
      </c>
      <c r="R56" s="88">
        <v>2792.0000000464884</v>
      </c>
      <c r="S56" s="88">
        <v>666</v>
      </c>
      <c r="T56" s="88">
        <v>1225</v>
      </c>
      <c r="U56" s="88">
        <v>325</v>
      </c>
      <c r="V56" s="89">
        <f t="shared" si="19"/>
        <v>2.1958109715752628E-3</v>
      </c>
      <c r="W56" s="89">
        <f t="shared" si="3"/>
        <v>2.2732858196116983E-3</v>
      </c>
      <c r="X56" s="89">
        <f t="shared" si="3"/>
        <v>2.4874914714578121E-3</v>
      </c>
      <c r="Y56" s="89">
        <f t="shared" si="3"/>
        <v>5.9194229928602651E-3</v>
      </c>
      <c r="Z56" s="80">
        <f t="shared" si="20"/>
        <v>1.2876011255505039E-2</v>
      </c>
      <c r="AA56" s="90">
        <f t="shared" si="27"/>
        <v>1.0944609567179282E-2</v>
      </c>
      <c r="AB56" s="80">
        <f t="shared" si="5"/>
        <v>-2.5102500431461333E-3</v>
      </c>
      <c r="AC56" s="80">
        <f t="shared" si="6"/>
        <v>-2.5102500431461333E-3</v>
      </c>
      <c r="AD56" s="81">
        <f t="shared" si="21"/>
        <v>4.6776105360022324E-4</v>
      </c>
      <c r="AE56" s="81">
        <f t="shared" si="28"/>
        <v>7.0164158040033481E-5</v>
      </c>
      <c r="AF56" s="230">
        <f t="shared" si="8"/>
        <v>1.1014773725219315E-2</v>
      </c>
      <c r="AG56" s="82">
        <v>119365605</v>
      </c>
      <c r="AH56" s="82">
        <v>39775418</v>
      </c>
      <c r="AI56" s="91">
        <f t="shared" si="29"/>
        <v>0.33322344405660242</v>
      </c>
      <c r="AJ56" s="92">
        <f t="shared" si="22"/>
        <v>13254101.774750978</v>
      </c>
      <c r="AK56" s="230">
        <f t="shared" si="23"/>
        <v>1.2156628258573974E-2</v>
      </c>
      <c r="AM56" s="93">
        <f t="shared" si="30"/>
        <v>21339304.597210728</v>
      </c>
      <c r="AN56" s="94">
        <f t="shared" si="31"/>
        <v>16647968.245962072</v>
      </c>
      <c r="AO56" s="94">
        <f t="shared" si="32"/>
        <v>20044136.714641083</v>
      </c>
      <c r="AP56" s="94">
        <f t="shared" si="33"/>
        <v>58031409.557813883</v>
      </c>
      <c r="AQ56" s="95">
        <f t="shared" si="24"/>
        <v>1.0558692799177991E-2</v>
      </c>
    </row>
    <row r="57" spans="1:43" ht="14.25">
      <c r="A57" s="7" t="s">
        <v>50</v>
      </c>
      <c r="B57" s="79">
        <v>1971</v>
      </c>
      <c r="C57" s="172">
        <f t="shared" si="25"/>
        <v>4.2355598782668714E-4</v>
      </c>
      <c r="D57" s="81">
        <f t="shared" si="14"/>
        <v>3.6002258965268404E-4</v>
      </c>
      <c r="E57" s="82">
        <v>1766.28</v>
      </c>
      <c r="F57" s="169">
        <f t="shared" si="26"/>
        <v>2.7503521480955966E-2</v>
      </c>
      <c r="G57" s="83">
        <f t="shared" si="15"/>
        <v>4.1255282221433947E-3</v>
      </c>
      <c r="H57" s="230">
        <f t="shared" si="16"/>
        <v>4.4855508117960788E-3</v>
      </c>
      <c r="I57" s="84">
        <v>477</v>
      </c>
      <c r="J57" s="85">
        <v>88</v>
      </c>
      <c r="K57" s="85">
        <v>1037</v>
      </c>
      <c r="L57" s="85">
        <v>127</v>
      </c>
      <c r="M57" s="86">
        <f t="shared" si="17"/>
        <v>2.7894019101262893E-4</v>
      </c>
      <c r="N57" s="86">
        <f t="shared" si="17"/>
        <v>2.5010515785045984E-4</v>
      </c>
      <c r="O57" s="86">
        <f t="shared" si="17"/>
        <v>7.7596992499206823E-4</v>
      </c>
      <c r="P57" s="86">
        <f t="shared" si="17"/>
        <v>8.1112842653858932E-4</v>
      </c>
      <c r="Q57" s="87">
        <f t="shared" si="18"/>
        <v>2.1161437003937465E-3</v>
      </c>
      <c r="R57" s="88">
        <v>265.99999999676999</v>
      </c>
      <c r="S57" s="88">
        <v>85</v>
      </c>
      <c r="T57" s="88">
        <v>641</v>
      </c>
      <c r="U57" s="88">
        <v>46</v>
      </c>
      <c r="V57" s="89">
        <f t="shared" si="19"/>
        <v>2.0919975588187754E-4</v>
      </c>
      <c r="W57" s="89">
        <f t="shared" si="3"/>
        <v>2.9013407607656811E-4</v>
      </c>
      <c r="X57" s="89">
        <f t="shared" si="3"/>
        <v>1.3016179862893531E-3</v>
      </c>
      <c r="Y57" s="89">
        <f t="shared" si="3"/>
        <v>8.3782602360483755E-4</v>
      </c>
      <c r="Z57" s="80">
        <f t="shared" si="20"/>
        <v>2.6387778418526363E-3</v>
      </c>
      <c r="AA57" s="90">
        <f t="shared" si="27"/>
        <v>2.2429611655747409E-3</v>
      </c>
      <c r="AB57" s="80">
        <f t="shared" si="5"/>
        <v>0.24697478784717899</v>
      </c>
      <c r="AC57" s="80">
        <f t="shared" si="6"/>
        <v>0</v>
      </c>
      <c r="AD57" s="81">
        <f t="shared" si="21"/>
        <v>0</v>
      </c>
      <c r="AE57" s="81">
        <f t="shared" si="28"/>
        <v>0</v>
      </c>
      <c r="AF57" s="230">
        <f t="shared" si="8"/>
        <v>2.2429611655747409E-3</v>
      </c>
      <c r="AG57" s="82">
        <v>4537153</v>
      </c>
      <c r="AH57" s="82">
        <v>1465753</v>
      </c>
      <c r="AI57" s="91">
        <f t="shared" si="29"/>
        <v>0.32305566949141895</v>
      </c>
      <c r="AJ57" s="92">
        <f t="shared" si="22"/>
        <v>473519.8167240558</v>
      </c>
      <c r="AK57" s="230">
        <f t="shared" si="23"/>
        <v>4.3431116516310129E-4</v>
      </c>
      <c r="AM57" s="93">
        <f t="shared" si="30"/>
        <v>10477500.151874367</v>
      </c>
      <c r="AN57" s="94">
        <f t="shared" si="31"/>
        <v>3390060.2221105429</v>
      </c>
      <c r="AO57" s="94">
        <f t="shared" si="32"/>
        <v>716102.53978807165</v>
      </c>
      <c r="AP57" s="94">
        <f t="shared" si="33"/>
        <v>14583662.913772982</v>
      </c>
      <c r="AQ57" s="95">
        <f t="shared" si="24"/>
        <v>2.6534667650953176E-3</v>
      </c>
    </row>
    <row r="58" spans="1:43" ht="14.25">
      <c r="A58" s="7" t="s">
        <v>51</v>
      </c>
      <c r="B58" s="79">
        <v>4113</v>
      </c>
      <c r="C58" s="172">
        <f t="shared" si="25"/>
        <v>8.8385884217715089E-4</v>
      </c>
      <c r="D58" s="81">
        <f t="shared" si="14"/>
        <v>7.5128001585057823E-4</v>
      </c>
      <c r="E58" s="82">
        <v>879.68</v>
      </c>
      <c r="F58" s="169">
        <f t="shared" si="26"/>
        <v>1.3697883561138291E-2</v>
      </c>
      <c r="G58" s="83">
        <f t="shared" si="15"/>
        <v>2.0546825341707436E-3</v>
      </c>
      <c r="H58" s="230">
        <f t="shared" si="16"/>
        <v>2.8059625500213218E-3</v>
      </c>
      <c r="I58" s="84">
        <v>765</v>
      </c>
      <c r="J58" s="85">
        <v>138</v>
      </c>
      <c r="K58" s="85">
        <v>1343</v>
      </c>
      <c r="L58" s="85">
        <v>81</v>
      </c>
      <c r="M58" s="86">
        <f t="shared" si="17"/>
        <v>4.4735691011459354E-4</v>
      </c>
      <c r="N58" s="86">
        <f t="shared" si="17"/>
        <v>3.9221036117458475E-4</v>
      </c>
      <c r="O58" s="86">
        <f t="shared" si="17"/>
        <v>1.0049446569569407E-3</v>
      </c>
      <c r="P58" s="86">
        <f t="shared" si="17"/>
        <v>5.1733387834350972E-4</v>
      </c>
      <c r="Q58" s="87">
        <f t="shared" si="18"/>
        <v>2.3618458065896289E-3</v>
      </c>
      <c r="R58" s="88">
        <v>609.99999999842794</v>
      </c>
      <c r="S58" s="88">
        <v>123</v>
      </c>
      <c r="T58" s="88">
        <v>468</v>
      </c>
      <c r="U58" s="88">
        <v>34</v>
      </c>
      <c r="V58" s="89">
        <f t="shared" si="19"/>
        <v>4.7974380108709025E-4</v>
      </c>
      <c r="W58" s="89">
        <f t="shared" si="3"/>
        <v>4.198410747931515E-4</v>
      </c>
      <c r="X58" s="89">
        <f t="shared" si="3"/>
        <v>9.5032327236102532E-4</v>
      </c>
      <c r="Y58" s="89">
        <f t="shared" si="3"/>
        <v>6.1926271309922776E-4</v>
      </c>
      <c r="Z58" s="80">
        <f t="shared" si="20"/>
        <v>2.4691708613404947E-3</v>
      </c>
      <c r="AA58" s="90">
        <f t="shared" si="27"/>
        <v>2.0987952321394206E-3</v>
      </c>
      <c r="AB58" s="80">
        <f t="shared" si="5"/>
        <v>4.5441177595686125E-2</v>
      </c>
      <c r="AC58" s="80">
        <f t="shared" si="6"/>
        <v>0</v>
      </c>
      <c r="AD58" s="81">
        <f t="shared" si="21"/>
        <v>0</v>
      </c>
      <c r="AE58" s="81">
        <f t="shared" si="28"/>
        <v>0</v>
      </c>
      <c r="AF58" s="230">
        <f t="shared" si="8"/>
        <v>2.0987952321394206E-3</v>
      </c>
      <c r="AG58" s="82">
        <v>2806578</v>
      </c>
      <c r="AH58" s="82">
        <v>586983</v>
      </c>
      <c r="AI58" s="91">
        <f t="shared" si="29"/>
        <v>0.20914544331210463</v>
      </c>
      <c r="AJ58" s="92">
        <f t="shared" si="22"/>
        <v>122764.81975166911</v>
      </c>
      <c r="AK58" s="230">
        <f t="shared" si="23"/>
        <v>1.1259957878057875E-4</v>
      </c>
      <c r="AM58" s="93">
        <f t="shared" si="30"/>
        <v>6554261.5115823904</v>
      </c>
      <c r="AN58" s="94">
        <f t="shared" si="31"/>
        <v>3172164.6990744667</v>
      </c>
      <c r="AO58" s="94">
        <f t="shared" si="32"/>
        <v>185656.85345334982</v>
      </c>
      <c r="AP58" s="94">
        <f t="shared" si="33"/>
        <v>9912083.0641102064</v>
      </c>
      <c r="AQ58" s="95">
        <f t="shared" si="24"/>
        <v>1.8034826462315762E-3</v>
      </c>
    </row>
    <row r="59" spans="1:43" ht="15.75" thickBot="1">
      <c r="A59" s="11" t="s">
        <v>52</v>
      </c>
      <c r="B59" s="96">
        <f>SUM(B8:B58)</f>
        <v>4653458</v>
      </c>
      <c r="C59" s="173">
        <f>SUM(C8:C58)</f>
        <v>0.99999999999999989</v>
      </c>
      <c r="D59" s="98">
        <f>SUM(D8:D58)</f>
        <v>0.85000000000000009</v>
      </c>
      <c r="E59" s="99">
        <f>SUM(E8:E58)</f>
        <v>64220.140000000021</v>
      </c>
      <c r="F59" s="170">
        <f t="shared" si="26"/>
        <v>1</v>
      </c>
      <c r="G59" s="100">
        <f>SUM(G8:G58)</f>
        <v>0.15</v>
      </c>
      <c r="H59" s="231">
        <f>SUM(H8:H58)</f>
        <v>1</v>
      </c>
      <c r="I59" s="101">
        <v>427511</v>
      </c>
      <c r="J59" s="102">
        <v>87963</v>
      </c>
      <c r="K59" s="102">
        <v>334098</v>
      </c>
      <c r="L59" s="102">
        <v>39143</v>
      </c>
      <c r="M59" s="103">
        <f>SUM(M8:M58)</f>
        <v>0.25</v>
      </c>
      <c r="N59" s="103">
        <f t="shared" ref="N59:P59" si="34">SUM(N8:N58)</f>
        <v>0.24999999999999994</v>
      </c>
      <c r="O59" s="103">
        <f t="shared" si="34"/>
        <v>0.25</v>
      </c>
      <c r="P59" s="103">
        <f t="shared" si="34"/>
        <v>0.25</v>
      </c>
      <c r="Q59" s="104">
        <f>SUM(Q8:Q58)</f>
        <v>1</v>
      </c>
      <c r="R59" s="105">
        <v>317877.99999509094</v>
      </c>
      <c r="S59" s="105">
        <v>73242</v>
      </c>
      <c r="T59" s="105">
        <v>123116</v>
      </c>
      <c r="U59" s="105">
        <v>13726</v>
      </c>
      <c r="V59" s="106">
        <f>SUM(V8:V58)</f>
        <v>0.24999999999999994</v>
      </c>
      <c r="W59" s="106">
        <f t="shared" ref="W59:Y59" si="35">SUM(W8:W58)</f>
        <v>0.24999999999999997</v>
      </c>
      <c r="X59" s="106">
        <f t="shared" si="35"/>
        <v>0.24999999999999997</v>
      </c>
      <c r="Y59" s="106">
        <f t="shared" si="35"/>
        <v>0.25000000000000006</v>
      </c>
      <c r="Z59" s="104">
        <f>SUM(Z8:Z58)</f>
        <v>1.0000000000000002</v>
      </c>
      <c r="AA59" s="107">
        <f>SUM(AA8:AA58)</f>
        <v>0.85</v>
      </c>
      <c r="AB59" s="108"/>
      <c r="AC59" s="97">
        <f>SUM(AC8:AC58)</f>
        <v>-5.3665221245451189</v>
      </c>
      <c r="AD59" s="109">
        <f>SUM(AD8:AD58)</f>
        <v>1.0000000000000002</v>
      </c>
      <c r="AE59" s="98">
        <f>SUM(AE8:AE58)</f>
        <v>0.15000000000000005</v>
      </c>
      <c r="AF59" s="231">
        <f>SUM(AF8:AF58)</f>
        <v>1.0000000000000002</v>
      </c>
      <c r="AG59" s="234">
        <f>SUM(AG8:AG58)</f>
        <v>4764118586</v>
      </c>
      <c r="AH59" s="99">
        <v>2178859840.21</v>
      </c>
      <c r="AI59" s="110">
        <f t="shared" ref="AI59" si="36">+AH59/$E$59</f>
        <v>33927.983343075852</v>
      </c>
      <c r="AJ59" s="111">
        <f>SUM(AJ8:AJ58)</f>
        <v>1090277788.6132171</v>
      </c>
      <c r="AK59" s="231">
        <f>SUM(AK8:AK58)</f>
        <v>1</v>
      </c>
      <c r="AM59" s="112">
        <f>SUM(AM8:AM58)</f>
        <v>2335833566.8209777</v>
      </c>
      <c r="AN59" s="113">
        <f t="shared" ref="AN59:AO59" si="37">SUM(AN8:AN58)</f>
        <v>1511421719.7076917</v>
      </c>
      <c r="AO59" s="113">
        <f t="shared" si="37"/>
        <v>1648823694.2265723</v>
      </c>
      <c r="AP59" s="113">
        <f>SUM(AP8:AP58)</f>
        <v>5496078980.7552414</v>
      </c>
      <c r="AQ59" s="114">
        <f>SUM(AQ8:AQ58)</f>
        <v>1</v>
      </c>
    </row>
    <row r="60" spans="1:43" ht="13.5" thickTop="1">
      <c r="F60" s="116"/>
      <c r="Q60" s="118"/>
    </row>
    <row r="61" spans="1:43" ht="15.75" customHeight="1">
      <c r="A61" s="50" t="s">
        <v>133</v>
      </c>
      <c r="F61" s="116"/>
      <c r="Q61" s="118"/>
    </row>
    <row r="62" spans="1:43" s="47" customFormat="1">
      <c r="D62" s="119"/>
      <c r="G62" s="119"/>
      <c r="H62" s="120"/>
      <c r="Q62" s="121"/>
      <c r="R62" s="121"/>
      <c r="AA62" s="119"/>
      <c r="AD62" s="119"/>
      <c r="AE62" s="119"/>
      <c r="AF62" s="120"/>
    </row>
    <row r="63" spans="1:43">
      <c r="Q63" s="118"/>
    </row>
    <row r="64" spans="1:43">
      <c r="Q64" s="118"/>
    </row>
    <row r="65" spans="4:38">
      <c r="Q65" s="118"/>
    </row>
    <row r="66" spans="4:38">
      <c r="D66" s="50"/>
      <c r="G66" s="50"/>
      <c r="H66" s="50"/>
      <c r="Q66" s="118"/>
      <c r="AA66" s="50"/>
      <c r="AD66" s="50"/>
      <c r="AE66" s="50"/>
      <c r="AF66" s="50"/>
      <c r="AL66" s="50"/>
    </row>
    <row r="67" spans="4:38">
      <c r="D67" s="50"/>
      <c r="G67" s="50"/>
      <c r="H67" s="50"/>
      <c r="Q67" s="118"/>
      <c r="AA67" s="50"/>
      <c r="AD67" s="50"/>
      <c r="AE67" s="50"/>
      <c r="AF67" s="50"/>
      <c r="AL67" s="50"/>
    </row>
    <row r="68" spans="4:38">
      <c r="D68" s="50"/>
      <c r="G68" s="50"/>
      <c r="H68" s="50"/>
      <c r="Q68" s="118"/>
      <c r="AA68" s="50"/>
      <c r="AD68" s="50"/>
      <c r="AE68" s="50"/>
      <c r="AF68" s="50"/>
      <c r="AL68" s="50"/>
    </row>
    <row r="69" spans="4:38">
      <c r="D69" s="50"/>
      <c r="G69" s="50"/>
      <c r="H69" s="50"/>
      <c r="Q69" s="118"/>
      <c r="AA69" s="50"/>
      <c r="AD69" s="50"/>
      <c r="AE69" s="50"/>
      <c r="AF69" s="50"/>
      <c r="AL69" s="50"/>
    </row>
    <row r="70" spans="4:38">
      <c r="D70" s="50"/>
      <c r="G70" s="50"/>
      <c r="H70" s="50"/>
      <c r="Q70" s="118"/>
      <c r="AA70" s="50"/>
      <c r="AD70" s="50"/>
      <c r="AE70" s="50"/>
      <c r="AF70" s="50"/>
      <c r="AL70" s="50"/>
    </row>
    <row r="71" spans="4:38">
      <c r="D71" s="50"/>
      <c r="G71" s="50"/>
      <c r="H71" s="50"/>
      <c r="Q71" s="118"/>
      <c r="AA71" s="50"/>
      <c r="AD71" s="50"/>
      <c r="AE71" s="50"/>
      <c r="AF71" s="50"/>
      <c r="AL71" s="50"/>
    </row>
    <row r="72" spans="4:38">
      <c r="D72" s="50"/>
      <c r="G72" s="50"/>
      <c r="H72" s="50"/>
      <c r="Q72" s="118"/>
      <c r="AA72" s="50"/>
      <c r="AD72" s="50"/>
      <c r="AE72" s="50"/>
      <c r="AF72" s="50"/>
      <c r="AL72" s="50"/>
    </row>
    <row r="73" spans="4:38">
      <c r="D73" s="50"/>
      <c r="G73" s="50"/>
      <c r="H73" s="50"/>
      <c r="Q73" s="118"/>
      <c r="AA73" s="50"/>
      <c r="AD73" s="50"/>
      <c r="AE73" s="50"/>
      <c r="AF73" s="50"/>
      <c r="AL73" s="50"/>
    </row>
    <row r="74" spans="4:38">
      <c r="D74" s="50"/>
      <c r="G74" s="50"/>
      <c r="H74" s="50"/>
      <c r="Q74" s="118"/>
      <c r="AA74" s="50"/>
      <c r="AD74" s="50"/>
      <c r="AE74" s="50"/>
      <c r="AF74" s="50"/>
      <c r="AL74" s="50"/>
    </row>
    <row r="75" spans="4:38">
      <c r="D75" s="50"/>
      <c r="G75" s="50"/>
      <c r="H75" s="50"/>
      <c r="Q75" s="118"/>
      <c r="AA75" s="50"/>
      <c r="AD75" s="50"/>
      <c r="AE75" s="50"/>
      <c r="AF75" s="50"/>
      <c r="AL75" s="50"/>
    </row>
    <row r="76" spans="4:38">
      <c r="D76" s="50"/>
      <c r="G76" s="50"/>
      <c r="H76" s="50"/>
      <c r="Q76" s="118"/>
      <c r="AA76" s="50"/>
      <c r="AD76" s="50"/>
      <c r="AE76" s="50"/>
      <c r="AF76" s="50"/>
      <c r="AL76" s="50"/>
    </row>
    <row r="77" spans="4:38">
      <c r="D77" s="50"/>
      <c r="G77" s="50"/>
      <c r="H77" s="50"/>
      <c r="Q77" s="118"/>
      <c r="AA77" s="50"/>
      <c r="AD77" s="50"/>
      <c r="AE77" s="50"/>
      <c r="AF77" s="50"/>
      <c r="AL77" s="50"/>
    </row>
    <row r="78" spans="4:38">
      <c r="D78" s="50"/>
      <c r="G78" s="50"/>
      <c r="H78" s="50"/>
      <c r="Q78" s="118"/>
      <c r="AA78" s="50"/>
      <c r="AD78" s="50"/>
      <c r="AE78" s="50"/>
      <c r="AF78" s="50"/>
      <c r="AL78" s="50"/>
    </row>
    <row r="79" spans="4:38">
      <c r="D79" s="50"/>
      <c r="G79" s="50"/>
      <c r="H79" s="50"/>
      <c r="Q79" s="118"/>
      <c r="AA79" s="50"/>
      <c r="AD79" s="50"/>
      <c r="AE79" s="50"/>
      <c r="AF79" s="50"/>
      <c r="AL79" s="50"/>
    </row>
    <row r="80" spans="4:38">
      <c r="D80" s="50"/>
      <c r="G80" s="50"/>
      <c r="H80" s="50"/>
      <c r="Q80" s="118"/>
      <c r="AA80" s="50"/>
      <c r="AD80" s="50"/>
      <c r="AE80" s="50"/>
      <c r="AF80" s="50"/>
      <c r="AL80" s="50"/>
    </row>
    <row r="81" spans="4:38">
      <c r="D81" s="50"/>
      <c r="G81" s="50"/>
      <c r="H81" s="50"/>
      <c r="Q81" s="118"/>
      <c r="AA81" s="50"/>
      <c r="AD81" s="50"/>
      <c r="AE81" s="50"/>
      <c r="AF81" s="50"/>
      <c r="AL81" s="50"/>
    </row>
    <row r="82" spans="4:38">
      <c r="D82" s="50"/>
      <c r="G82" s="50"/>
      <c r="H82" s="50"/>
      <c r="Q82" s="118"/>
      <c r="AA82" s="50"/>
      <c r="AD82" s="50"/>
      <c r="AE82" s="50"/>
      <c r="AF82" s="50"/>
      <c r="AL82" s="50"/>
    </row>
    <row r="83" spans="4:38">
      <c r="D83" s="50"/>
      <c r="G83" s="50"/>
      <c r="H83" s="50"/>
      <c r="Q83" s="118"/>
      <c r="AA83" s="50"/>
      <c r="AD83" s="50"/>
      <c r="AE83" s="50"/>
      <c r="AF83" s="50"/>
      <c r="AL83" s="50"/>
    </row>
    <row r="84" spans="4:38">
      <c r="D84" s="50"/>
      <c r="G84" s="50"/>
      <c r="H84" s="50"/>
      <c r="Q84" s="118"/>
      <c r="AA84" s="50"/>
      <c r="AD84" s="50"/>
      <c r="AE84" s="50"/>
      <c r="AF84" s="50"/>
      <c r="AL84" s="50"/>
    </row>
    <row r="85" spans="4:38">
      <c r="D85" s="50"/>
      <c r="G85" s="50"/>
      <c r="H85" s="50"/>
      <c r="Q85" s="118"/>
      <c r="AA85" s="50"/>
      <c r="AD85" s="50"/>
      <c r="AE85" s="50"/>
      <c r="AF85" s="50"/>
      <c r="AL85" s="50"/>
    </row>
    <row r="86" spans="4:38">
      <c r="D86" s="50"/>
      <c r="G86" s="50"/>
      <c r="H86" s="50"/>
      <c r="Q86" s="118"/>
      <c r="AA86" s="50"/>
      <c r="AD86" s="50"/>
      <c r="AE86" s="50"/>
      <c r="AF86" s="50"/>
      <c r="AL86" s="50"/>
    </row>
    <row r="87" spans="4:38">
      <c r="D87" s="50"/>
      <c r="G87" s="50"/>
      <c r="H87" s="50"/>
      <c r="Q87" s="118"/>
      <c r="AA87" s="50"/>
      <c r="AD87" s="50"/>
      <c r="AE87" s="50"/>
      <c r="AF87" s="50"/>
      <c r="AL87" s="50"/>
    </row>
    <row r="88" spans="4:38">
      <c r="D88" s="50"/>
      <c r="G88" s="50"/>
      <c r="H88" s="50"/>
      <c r="Q88" s="118"/>
      <c r="AA88" s="50"/>
      <c r="AD88" s="50"/>
      <c r="AE88" s="50"/>
      <c r="AF88" s="50"/>
      <c r="AL88" s="50"/>
    </row>
  </sheetData>
  <mergeCells count="7">
    <mergeCell ref="AM3:AQ3"/>
    <mergeCell ref="AG3:AK3"/>
    <mergeCell ref="B3:H3"/>
    <mergeCell ref="I3:N3"/>
    <mergeCell ref="O3:T3"/>
    <mergeCell ref="V3:AA3"/>
    <mergeCell ref="AB3:AF3"/>
  </mergeCells>
  <phoneticPr fontId="0" type="noConversion"/>
  <printOptions horizontalCentered="1"/>
  <pageMargins left="0.27559055118110237" right="0.19685039370078741" top="0.39370078740157483" bottom="0.43307086614173229" header="0.43307086614173229" footer="0.23622047244094491"/>
  <pageSetup scale="80" orientation="portrait" r:id="rId1"/>
  <headerFooter alignWithMargins="0"/>
  <colBreaks count="3" manualBreakCount="3">
    <brk id="8" max="1048575" man="1"/>
    <brk id="32" min="2" max="60" man="1"/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63"/>
  <sheetViews>
    <sheetView zoomScaleNormal="100" workbookViewId="0">
      <selection activeCell="A62" sqref="A62"/>
    </sheetView>
  </sheetViews>
  <sheetFormatPr baseColWidth="10" defaultColWidth="9.7109375" defaultRowHeight="12.75"/>
  <cols>
    <col min="1" max="1" width="28.7109375" style="50" customWidth="1"/>
    <col min="2" max="2" width="12.42578125" style="50" customWidth="1"/>
    <col min="3" max="3" width="14.140625" style="117" customWidth="1"/>
    <col min="4" max="4" width="2.140625" style="47" customWidth="1"/>
    <col min="5" max="5" width="14.7109375" style="50" customWidth="1"/>
    <col min="6" max="6" width="15.7109375" style="117" customWidth="1"/>
    <col min="7" max="7" width="2" style="47" customWidth="1"/>
    <col min="8" max="8" width="16.140625" style="117" customWidth="1"/>
    <col min="9" max="9" width="2.140625" style="47" customWidth="1"/>
    <col min="10" max="12" width="18.42578125" style="50" customWidth="1"/>
    <col min="13" max="13" width="15.7109375" style="50" customWidth="1"/>
    <col min="14" max="14" width="15.7109375" style="117" customWidth="1"/>
    <col min="15" max="16384" width="9.7109375" style="50"/>
  </cols>
  <sheetData>
    <row r="1" spans="1:14" s="149" customFormat="1" ht="51" customHeight="1">
      <c r="A1" s="287" t="s">
        <v>214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26.25" customHeight="1"/>
    <row r="3" spans="1:14" ht="37.5" customHeight="1" thickBot="1">
      <c r="B3" s="289" t="s">
        <v>170</v>
      </c>
      <c r="C3" s="290"/>
      <c r="E3" s="291" t="s">
        <v>173</v>
      </c>
      <c r="F3" s="291"/>
      <c r="H3" s="219" t="s">
        <v>171</v>
      </c>
    </row>
    <row r="4" spans="1:14" ht="39" customHeight="1" thickBot="1">
      <c r="A4" s="44" t="s">
        <v>0</v>
      </c>
      <c r="B4" s="44" t="s">
        <v>216</v>
      </c>
      <c r="C4" s="228" t="s">
        <v>153</v>
      </c>
      <c r="E4" s="122" t="s">
        <v>215</v>
      </c>
      <c r="F4" s="228" t="s">
        <v>154</v>
      </c>
      <c r="H4" s="228" t="s">
        <v>160</v>
      </c>
      <c r="J4" s="235" t="s">
        <v>157</v>
      </c>
      <c r="K4" s="235" t="s">
        <v>158</v>
      </c>
      <c r="L4" s="235" t="s">
        <v>159</v>
      </c>
      <c r="M4" s="235" t="s">
        <v>99</v>
      </c>
      <c r="N4" s="240" t="s">
        <v>152</v>
      </c>
    </row>
    <row r="5" spans="1:14">
      <c r="A5" s="155"/>
      <c r="B5" s="152"/>
      <c r="C5" s="158"/>
      <c r="D5" s="167"/>
      <c r="E5" s="174"/>
      <c r="F5" s="158"/>
      <c r="G5" s="167"/>
      <c r="H5" s="158"/>
      <c r="I5" s="167"/>
      <c r="J5" s="160" t="s">
        <v>174</v>
      </c>
      <c r="K5" s="160" t="s">
        <v>174</v>
      </c>
      <c r="L5" s="160" t="s">
        <v>174</v>
      </c>
      <c r="M5" s="160" t="s">
        <v>174</v>
      </c>
      <c r="N5" s="175"/>
    </row>
    <row r="6" spans="1:14" s="53" customFormat="1" ht="11.25">
      <c r="A6" s="123"/>
      <c r="B6" s="161" t="s">
        <v>58</v>
      </c>
      <c r="C6" s="176" t="s">
        <v>108</v>
      </c>
      <c r="D6" s="52"/>
      <c r="E6" s="124" t="s">
        <v>57</v>
      </c>
      <c r="F6" s="176" t="s">
        <v>109</v>
      </c>
      <c r="G6" s="52"/>
      <c r="H6" s="164" t="s">
        <v>97</v>
      </c>
      <c r="I6" s="52"/>
      <c r="J6" s="241">
        <f>+M6*0.35</f>
        <v>77594745.797227278</v>
      </c>
      <c r="K6" s="241">
        <f>+M6*0.35</f>
        <v>77594745.797227278</v>
      </c>
      <c r="L6" s="241">
        <f>+M6*0.3</f>
        <v>66509782.111909091</v>
      </c>
      <c r="M6" s="241">
        <f>+'PARTICIPACIONES 2015'!C17</f>
        <v>221699273.70636365</v>
      </c>
      <c r="N6" s="242"/>
    </row>
    <row r="7" spans="1:14" s="61" customFormat="1" ht="23.25" customHeight="1" thickBot="1">
      <c r="A7" s="54"/>
      <c r="B7" s="54"/>
      <c r="C7" s="126"/>
      <c r="D7" s="55"/>
      <c r="E7" s="127"/>
      <c r="F7" s="128"/>
      <c r="G7" s="55"/>
      <c r="H7" s="57"/>
      <c r="I7" s="55"/>
      <c r="J7" s="241" t="s">
        <v>155</v>
      </c>
      <c r="K7" s="241" t="s">
        <v>96</v>
      </c>
      <c r="L7" s="241" t="s">
        <v>156</v>
      </c>
      <c r="M7" s="243" t="s">
        <v>176</v>
      </c>
      <c r="N7" s="244" t="s">
        <v>98</v>
      </c>
    </row>
    <row r="8" spans="1:14" ht="13.5" thickTop="1">
      <c r="A8" s="5" t="s">
        <v>1</v>
      </c>
      <c r="B8" s="245">
        <v>2791</v>
      </c>
      <c r="C8" s="229">
        <f t="shared" ref="C8:C58" si="0">+B8/$B$59</f>
        <v>5.9976903197579094E-4</v>
      </c>
      <c r="E8" s="130">
        <v>2879.2591494978633</v>
      </c>
      <c r="F8" s="229">
        <f t="shared" ref="F8:F59" si="1">(E8/E$59)</f>
        <v>5.7429101039005752E-4</v>
      </c>
      <c r="H8" s="246">
        <f>+'COEF DIST PART'!AQ8</f>
        <v>5.9922565306683878E-4</v>
      </c>
      <c r="J8" s="247">
        <f t="shared" ref="J8:J39" si="2">+C8*J$6</f>
        <v>46538.925573210574</v>
      </c>
      <c r="K8" s="248">
        <f t="shared" ref="K8:K39" si="3">+F8*K$6</f>
        <v>44561.964964849321</v>
      </c>
      <c r="L8" s="248">
        <f t="shared" ref="L8:L39" si="4">+H8*L$6</f>
        <v>39854.36762134188</v>
      </c>
      <c r="M8" s="248">
        <f>SUM(J8:L8)</f>
        <v>130955.25815940178</v>
      </c>
      <c r="N8" s="249">
        <f>+M8/M$59</f>
        <v>5.9068871074809874E-4</v>
      </c>
    </row>
    <row r="9" spans="1:14">
      <c r="A9" s="7" t="s">
        <v>2</v>
      </c>
      <c r="B9" s="250">
        <v>3443</v>
      </c>
      <c r="C9" s="230">
        <f t="shared" si="0"/>
        <v>7.3987989146995627E-4</v>
      </c>
      <c r="E9" s="132">
        <v>3454.6156293962986</v>
      </c>
      <c r="F9" s="230">
        <f t="shared" si="1"/>
        <v>6.8905041099245347E-4</v>
      </c>
      <c r="H9" s="251">
        <f>+'COEF DIST PART'!AQ9</f>
        <v>3.1436188266203303E-3</v>
      </c>
      <c r="J9" s="252">
        <f t="shared" si="2"/>
        <v>57410.792099091363</v>
      </c>
      <c r="K9" s="253">
        <f t="shared" si="3"/>
        <v>53466.691482434406</v>
      </c>
      <c r="L9" s="253">
        <f t="shared" si="4"/>
        <v>209081.40320141349</v>
      </c>
      <c r="M9" s="253">
        <f t="shared" ref="M9:M58" si="5">SUM(J9:L9)</f>
        <v>319958.88678293925</v>
      </c>
      <c r="N9" s="254">
        <f t="shared" ref="N9:N58" si="6">+M9/M$59</f>
        <v>1.4432112538479427E-3</v>
      </c>
    </row>
    <row r="10" spans="1:14">
      <c r="A10" s="7" t="s">
        <v>3</v>
      </c>
      <c r="B10" s="250">
        <v>1374</v>
      </c>
      <c r="C10" s="230">
        <f t="shared" si="0"/>
        <v>2.9526429592788847E-4</v>
      </c>
      <c r="E10" s="132">
        <v>1275.5850677084129</v>
      </c>
      <c r="F10" s="230">
        <f t="shared" si="1"/>
        <v>2.5442553078297613E-4</v>
      </c>
      <c r="H10" s="251">
        <f>+'COEF DIST PART'!AQ10</f>
        <v>3.2126294209898995E-3</v>
      </c>
      <c r="J10" s="252">
        <f t="shared" si="2"/>
        <v>22910.957985521796</v>
      </c>
      <c r="K10" s="253">
        <f t="shared" si="3"/>
        <v>19742.084385429658</v>
      </c>
      <c r="L10" s="253">
        <f t="shared" si="4"/>
        <v>213671.28279634687</v>
      </c>
      <c r="M10" s="253">
        <f t="shared" si="5"/>
        <v>256324.32516729832</v>
      </c>
      <c r="N10" s="254">
        <f t="shared" si="6"/>
        <v>1.1561802656457724E-3</v>
      </c>
    </row>
    <row r="11" spans="1:14" ht="13.5" customHeight="1">
      <c r="A11" s="7" t="s">
        <v>4</v>
      </c>
      <c r="B11" s="250">
        <v>32593</v>
      </c>
      <c r="C11" s="230">
        <f t="shared" si="0"/>
        <v>7.0040387170143149E-3</v>
      </c>
      <c r="E11" s="132">
        <v>34800.395485526933</v>
      </c>
      <c r="F11" s="230">
        <f t="shared" si="1"/>
        <v>6.9412141275446834E-3</v>
      </c>
      <c r="H11" s="251">
        <f>+'COEF DIST PART'!AQ11</f>
        <v>7.8437481723929673E-3</v>
      </c>
      <c r="J11" s="252">
        <f t="shared" si="2"/>
        <v>543476.60380066361</v>
      </c>
      <c r="K11" s="253">
        <f t="shared" si="3"/>
        <v>538601.7457509524</v>
      </c>
      <c r="L11" s="253">
        <f t="shared" si="4"/>
        <v>521685.98188654141</v>
      </c>
      <c r="M11" s="253">
        <f t="shared" si="5"/>
        <v>1603764.3314381575</v>
      </c>
      <c r="N11" s="254">
        <f t="shared" si="6"/>
        <v>7.2339629473135401E-3</v>
      </c>
    </row>
    <row r="12" spans="1:14">
      <c r="A12" s="7" t="s">
        <v>5</v>
      </c>
      <c r="B12" s="250">
        <v>18480</v>
      </c>
      <c r="C12" s="230">
        <f t="shared" si="0"/>
        <v>3.9712403120432159E-3</v>
      </c>
      <c r="E12" s="132">
        <v>19074.413586237348</v>
      </c>
      <c r="F12" s="230">
        <f t="shared" si="1"/>
        <v>3.8045426556857472E-3</v>
      </c>
      <c r="H12" s="251">
        <f>+'COEF DIST PART'!AQ12</f>
        <v>1.0197930175353837E-2</v>
      </c>
      <c r="J12" s="252">
        <f t="shared" si="2"/>
        <v>308147.38251269486</v>
      </c>
      <c r="K12" s="253">
        <f t="shared" si="3"/>
        <v>295212.52024264354</v>
      </c>
      <c r="L12" s="253">
        <f t="shared" si="4"/>
        <v>678262.11395524652</v>
      </c>
      <c r="M12" s="253">
        <f t="shared" si="5"/>
        <v>1281622.016710585</v>
      </c>
      <c r="N12" s="254">
        <f t="shared" si="6"/>
        <v>5.7809030913112888E-3</v>
      </c>
    </row>
    <row r="13" spans="1:14">
      <c r="A13" s="7" t="s">
        <v>6</v>
      </c>
      <c r="B13" s="250">
        <v>523370</v>
      </c>
      <c r="C13" s="230">
        <f t="shared" si="0"/>
        <v>0.11246904989794686</v>
      </c>
      <c r="E13" s="132">
        <v>589702.97875630576</v>
      </c>
      <c r="F13" s="230">
        <f t="shared" si="1"/>
        <v>0.11762092327085154</v>
      </c>
      <c r="H13" s="251">
        <f>+'COEF DIST PART'!AQ13</f>
        <v>6.7670054543780542E-2</v>
      </c>
      <c r="J13" s="252">
        <f t="shared" si="2"/>
        <v>8727007.3368868567</v>
      </c>
      <c r="K13" s="253">
        <f t="shared" si="3"/>
        <v>9126765.6416368987</v>
      </c>
      <c r="L13" s="253">
        <f t="shared" si="4"/>
        <v>4500720.5832078476</v>
      </c>
      <c r="M13" s="253">
        <f t="shared" si="5"/>
        <v>22354493.561731599</v>
      </c>
      <c r="N13" s="254">
        <f t="shared" si="6"/>
        <v>0.10083250697221359</v>
      </c>
    </row>
    <row r="14" spans="1:14">
      <c r="A14" s="7" t="s">
        <v>7</v>
      </c>
      <c r="B14" s="250">
        <v>15470</v>
      </c>
      <c r="C14" s="230">
        <f t="shared" si="0"/>
        <v>3.3244095036422377E-3</v>
      </c>
      <c r="E14" s="132">
        <v>15941.38413674782</v>
      </c>
      <c r="F14" s="230">
        <f t="shared" si="1"/>
        <v>3.1796351518082531E-3</v>
      </c>
      <c r="H14" s="251">
        <f>+'COEF DIST PART'!AQ14</f>
        <v>1.2889014149832081E-2</v>
      </c>
      <c r="J14" s="252">
        <f t="shared" si="2"/>
        <v>257956.71036100594</v>
      </c>
      <c r="K14" s="253">
        <f t="shared" si="3"/>
        <v>246722.98133248958</v>
      </c>
      <c r="L14" s="253">
        <f t="shared" si="4"/>
        <v>857245.52274264488</v>
      </c>
      <c r="M14" s="253">
        <f t="shared" si="5"/>
        <v>1361925.2144361404</v>
      </c>
      <c r="N14" s="254">
        <f t="shared" si="6"/>
        <v>6.1431198743572965E-3</v>
      </c>
    </row>
    <row r="15" spans="1:14">
      <c r="A15" s="7" t="s">
        <v>8</v>
      </c>
      <c r="B15" s="250">
        <v>3773</v>
      </c>
      <c r="C15" s="230">
        <f t="shared" si="0"/>
        <v>8.1079489704215658E-4</v>
      </c>
      <c r="E15" s="132">
        <v>4036.0723758764971</v>
      </c>
      <c r="F15" s="230">
        <f t="shared" si="1"/>
        <v>8.0502655801362893E-4</v>
      </c>
      <c r="H15" s="251">
        <f>+'COEF DIST PART'!AQ15</f>
        <v>1.7233297738703779E-3</v>
      </c>
      <c r="J15" s="252">
        <f t="shared" si="2"/>
        <v>62913.423929675206</v>
      </c>
      <c r="K15" s="253">
        <f t="shared" si="3"/>
        <v>62465.831129084378</v>
      </c>
      <c r="L15" s="253">
        <f t="shared" si="4"/>
        <v>114618.2877670844</v>
      </c>
      <c r="M15" s="253">
        <f t="shared" si="5"/>
        <v>239997.54282584399</v>
      </c>
      <c r="N15" s="254">
        <f t="shared" si="6"/>
        <v>1.0825364414306384E-3</v>
      </c>
    </row>
    <row r="16" spans="1:14">
      <c r="A16" s="7" t="s">
        <v>9</v>
      </c>
      <c r="B16" s="250">
        <v>86445</v>
      </c>
      <c r="C16" s="230">
        <f t="shared" si="0"/>
        <v>1.8576508050572284E-2</v>
      </c>
      <c r="E16" s="132">
        <v>94896.019975197807</v>
      </c>
      <c r="F16" s="230">
        <f t="shared" si="1"/>
        <v>1.892776174838439E-2</v>
      </c>
      <c r="H16" s="251">
        <f>+'COEF DIST PART'!AQ16</f>
        <v>1.6004309548039698E-2</v>
      </c>
      <c r="J16" s="252">
        <f t="shared" si="2"/>
        <v>1441439.4199843025</v>
      </c>
      <c r="K16" s="253">
        <f t="shared" si="3"/>
        <v>1468694.8613763689</v>
      </c>
      <c r="L16" s="253">
        <f t="shared" si="4"/>
        <v>1064443.1408916665</v>
      </c>
      <c r="M16" s="253">
        <f t="shared" si="5"/>
        <v>3974577.4222523379</v>
      </c>
      <c r="N16" s="254">
        <f t="shared" si="6"/>
        <v>1.7927787294046749E-2</v>
      </c>
    </row>
    <row r="17" spans="1:14">
      <c r="A17" s="7" t="s">
        <v>10</v>
      </c>
      <c r="B17" s="250">
        <v>16092</v>
      </c>
      <c r="C17" s="230">
        <f t="shared" si="0"/>
        <v>3.4580735444480213E-3</v>
      </c>
      <c r="E17" s="132">
        <v>20615.765415609992</v>
      </c>
      <c r="F17" s="230">
        <f t="shared" si="1"/>
        <v>4.1119774691207771E-3</v>
      </c>
      <c r="H17" s="251">
        <f>+'COEF DIST PART'!AQ17</f>
        <v>2.7796933017160607E-3</v>
      </c>
      <c r="J17" s="252">
        <f t="shared" si="2"/>
        <v>268328.33762956096</v>
      </c>
      <c r="K17" s="253">
        <f t="shared" si="3"/>
        <v>319067.84644035267</v>
      </c>
      <c r="L17" s="253">
        <f t="shared" si="4"/>
        <v>184876.79583506839</v>
      </c>
      <c r="M17" s="253">
        <f t="shared" si="5"/>
        <v>772272.97990498203</v>
      </c>
      <c r="N17" s="254">
        <f t="shared" si="6"/>
        <v>3.4834258452638984E-3</v>
      </c>
    </row>
    <row r="18" spans="1:14">
      <c r="A18" s="7" t="s">
        <v>11</v>
      </c>
      <c r="B18" s="250">
        <v>7855</v>
      </c>
      <c r="C18" s="230">
        <f t="shared" si="0"/>
        <v>1.6879920265746463E-3</v>
      </c>
      <c r="E18" s="132">
        <v>7945.2657007739799</v>
      </c>
      <c r="F18" s="230">
        <f t="shared" si="1"/>
        <v>1.5847460857806828E-3</v>
      </c>
      <c r="H18" s="251">
        <f>+'COEF DIST PART'!AQ18</f>
        <v>4.0032346856043932E-3</v>
      </c>
      <c r="J18" s="252">
        <f t="shared" si="2"/>
        <v>130979.31220980619</v>
      </c>
      <c r="K18" s="253">
        <f t="shared" si="3"/>
        <v>122967.96967930302</v>
      </c>
      <c r="L18" s="253">
        <f t="shared" si="4"/>
        <v>266254.26668238506</v>
      </c>
      <c r="M18" s="253">
        <f t="shared" si="5"/>
        <v>520201.54857149429</v>
      </c>
      <c r="N18" s="254">
        <f t="shared" si="6"/>
        <v>2.3464287450056832E-3</v>
      </c>
    </row>
    <row r="19" spans="1:14">
      <c r="A19" s="7" t="s">
        <v>12</v>
      </c>
      <c r="B19" s="250">
        <v>10864</v>
      </c>
      <c r="C19" s="230">
        <f t="shared" si="0"/>
        <v>2.3346079410193452E-3</v>
      </c>
      <c r="E19" s="132">
        <v>11208</v>
      </c>
      <c r="F19" s="230">
        <f t="shared" si="1"/>
        <v>2.2355242478171175E-3</v>
      </c>
      <c r="H19" s="251">
        <f>+'COEF DIST PART'!AQ19</f>
        <v>9.5330795606105509E-3</v>
      </c>
      <c r="J19" s="252">
        <f t="shared" si="2"/>
        <v>181153.30971958427</v>
      </c>
      <c r="K19" s="253">
        <f t="shared" si="3"/>
        <v>173464.93573290695</v>
      </c>
      <c r="L19" s="253">
        <f t="shared" si="4"/>
        <v>634043.04443170177</v>
      </c>
      <c r="M19" s="253">
        <f t="shared" si="5"/>
        <v>988661.28988419299</v>
      </c>
      <c r="N19" s="254">
        <f t="shared" si="6"/>
        <v>4.4594701342759273E-3</v>
      </c>
    </row>
    <row r="20" spans="1:14">
      <c r="A20" s="7" t="s">
        <v>13</v>
      </c>
      <c r="B20" s="250">
        <v>24526</v>
      </c>
      <c r="C20" s="230">
        <f t="shared" si="0"/>
        <v>5.2704891717084371E-3</v>
      </c>
      <c r="E20" s="132">
        <v>31170.552896958245</v>
      </c>
      <c r="F20" s="230">
        <f t="shared" si="1"/>
        <v>6.2172133136167247E-3</v>
      </c>
      <c r="H20" s="251">
        <f>+'COEF DIST PART'!AQ20</f>
        <v>4.2043479091535638E-3</v>
      </c>
      <c r="J20" s="252">
        <f t="shared" si="2"/>
        <v>408962.26750575512</v>
      </c>
      <c r="K20" s="253">
        <f t="shared" si="3"/>
        <v>482423.08663722681</v>
      </c>
      <c r="L20" s="253">
        <f t="shared" si="4"/>
        <v>279630.26336046407</v>
      </c>
      <c r="M20" s="253">
        <f t="shared" si="5"/>
        <v>1171015.6175034461</v>
      </c>
      <c r="N20" s="254">
        <f t="shared" si="6"/>
        <v>5.2820002426098769E-3</v>
      </c>
    </row>
    <row r="21" spans="1:14">
      <c r="A21" s="7" t="s">
        <v>14</v>
      </c>
      <c r="B21" s="250">
        <v>35445</v>
      </c>
      <c r="C21" s="230">
        <f t="shared" si="0"/>
        <v>7.6169162803231489E-3</v>
      </c>
      <c r="E21" s="132">
        <v>36741.136272347969</v>
      </c>
      <c r="F21" s="230">
        <f t="shared" si="1"/>
        <v>7.3283102274435139E-3</v>
      </c>
      <c r="H21" s="251">
        <f>+'COEF DIST PART'!AQ21</f>
        <v>2.8908623069748476E-2</v>
      </c>
      <c r="J21" s="252">
        <f t="shared" si="2"/>
        <v>591032.68253043666</v>
      </c>
      <c r="K21" s="253">
        <f t="shared" si="3"/>
        <v>568638.36922170024</v>
      </c>
      <c r="L21" s="253">
        <f t="shared" si="4"/>
        <v>1922706.2215242796</v>
      </c>
      <c r="M21" s="253">
        <f t="shared" si="5"/>
        <v>3082377.2732764166</v>
      </c>
      <c r="N21" s="254">
        <f t="shared" si="6"/>
        <v>1.3903416198642876E-2</v>
      </c>
    </row>
    <row r="22" spans="1:14">
      <c r="A22" s="7" t="s">
        <v>15</v>
      </c>
      <c r="B22" s="250">
        <v>1716</v>
      </c>
      <c r="C22" s="230">
        <f t="shared" si="0"/>
        <v>3.6875802897544147E-4</v>
      </c>
      <c r="E22" s="132">
        <v>1782.7078975350851</v>
      </c>
      <c r="F22" s="230">
        <f t="shared" si="1"/>
        <v>3.5557519019582047E-4</v>
      </c>
      <c r="H22" s="251">
        <f>+'COEF DIST PART'!AQ22</f>
        <v>3.626647303520475E-3</v>
      </c>
      <c r="J22" s="252">
        <f t="shared" si="2"/>
        <v>28613.685519035953</v>
      </c>
      <c r="K22" s="253">
        <f t="shared" si="3"/>
        <v>27590.766495045431</v>
      </c>
      <c r="L22" s="253">
        <f t="shared" si="4"/>
        <v>241207.52195388943</v>
      </c>
      <c r="M22" s="253">
        <f t="shared" si="5"/>
        <v>297411.97396797081</v>
      </c>
      <c r="N22" s="254">
        <f t="shared" si="6"/>
        <v>1.3415108177660844E-3</v>
      </c>
    </row>
    <row r="23" spans="1:14">
      <c r="A23" s="7" t="s">
        <v>16</v>
      </c>
      <c r="B23" s="250">
        <v>3345</v>
      </c>
      <c r="C23" s="230">
        <f t="shared" si="0"/>
        <v>7.1882028375457561E-4</v>
      </c>
      <c r="E23" s="132">
        <v>3515.7191729586666</v>
      </c>
      <c r="F23" s="230">
        <f t="shared" si="1"/>
        <v>7.0123799604431133E-4</v>
      </c>
      <c r="H23" s="251">
        <f>+'COEF DIST PART'!AQ23</f>
        <v>1.5880761372692506E-3</v>
      </c>
      <c r="J23" s="252">
        <f t="shared" si="2"/>
        <v>55776.677191827075</v>
      </c>
      <c r="K23" s="253">
        <f t="shared" si="3"/>
        <v>54412.384046415405</v>
      </c>
      <c r="L23" s="253">
        <f t="shared" si="4"/>
        <v>105622.59786690009</v>
      </c>
      <c r="M23" s="253">
        <f t="shared" si="5"/>
        <v>215811.65910514258</v>
      </c>
      <c r="N23" s="254">
        <f t="shared" si="6"/>
        <v>9.7344323911038573E-4</v>
      </c>
    </row>
    <row r="24" spans="1:14">
      <c r="A24" s="7" t="s">
        <v>17</v>
      </c>
      <c r="B24" s="250">
        <v>39991</v>
      </c>
      <c r="C24" s="230">
        <f t="shared" si="0"/>
        <v>8.5938242055692785E-3</v>
      </c>
      <c r="E24" s="132">
        <v>41120.722164492887</v>
      </c>
      <c r="F24" s="230">
        <f t="shared" si="1"/>
        <v>8.2018532732400628E-3</v>
      </c>
      <c r="H24" s="251">
        <f>+'COEF DIST PART'!AQ24</f>
        <v>2.2948727278790097E-2</v>
      </c>
      <c r="J24" s="252">
        <f t="shared" si="2"/>
        <v>666835.6046572068</v>
      </c>
      <c r="K24" s="253">
        <f t="shared" si="3"/>
        <v>636420.7198032192</v>
      </c>
      <c r="L24" s="253">
        <f t="shared" si="4"/>
        <v>1526314.8510579539</v>
      </c>
      <c r="M24" s="253">
        <f t="shared" si="5"/>
        <v>2829571.1755183795</v>
      </c>
      <c r="N24" s="254">
        <f t="shared" si="6"/>
        <v>1.2763105301220299E-2</v>
      </c>
    </row>
    <row r="25" spans="1:14">
      <c r="A25" s="7" t="s">
        <v>18</v>
      </c>
      <c r="B25" s="250">
        <v>143668</v>
      </c>
      <c r="C25" s="230">
        <f t="shared" si="0"/>
        <v>3.0873384910748092E-2</v>
      </c>
      <c r="E25" s="132">
        <v>182081.4206190852</v>
      </c>
      <c r="F25" s="230">
        <f t="shared" si="1"/>
        <v>3.6317579485274143E-2</v>
      </c>
      <c r="H25" s="251">
        <f>+'COEF DIST PART'!AQ25</f>
        <v>2.3259620404238731E-2</v>
      </c>
      <c r="J25" s="252">
        <f t="shared" si="2"/>
        <v>2395612.4540494503</v>
      </c>
      <c r="K25" s="253">
        <f t="shared" si="3"/>
        <v>2818053.3481304436</v>
      </c>
      <c r="L25" s="253">
        <f t="shared" si="4"/>
        <v>1546992.285091633</v>
      </c>
      <c r="M25" s="253">
        <f t="shared" si="5"/>
        <v>6760658.0872715265</v>
      </c>
      <c r="N25" s="254">
        <f t="shared" si="6"/>
        <v>3.0494723659879402E-2</v>
      </c>
    </row>
    <row r="26" spans="1:14">
      <c r="A26" s="7" t="s">
        <v>19</v>
      </c>
      <c r="B26" s="250">
        <v>5527</v>
      </c>
      <c r="C26" s="230">
        <f t="shared" si="0"/>
        <v>1.1877188963562151E-3</v>
      </c>
      <c r="E26" s="132">
        <v>5672.9498032173624</v>
      </c>
      <c r="F26" s="230">
        <f t="shared" si="1"/>
        <v>1.1315147075072946E-3</v>
      </c>
      <c r="H26" s="251">
        <f>+'COEF DIST PART'!AQ26</f>
        <v>3.764343223975525E-3</v>
      </c>
      <c r="J26" s="252">
        <f t="shared" si="2"/>
        <v>92160.745841323849</v>
      </c>
      <c r="K26" s="253">
        <f t="shared" si="3"/>
        <v>87799.596094852503</v>
      </c>
      <c r="L26" s="253">
        <f t="shared" si="4"/>
        <v>250365.64762105356</v>
      </c>
      <c r="M26" s="253">
        <f t="shared" si="5"/>
        <v>430325.98955722991</v>
      </c>
      <c r="N26" s="254">
        <f t="shared" si="6"/>
        <v>1.9410347285448862E-3</v>
      </c>
    </row>
    <row r="27" spans="1:14">
      <c r="A27" s="7" t="s">
        <v>20</v>
      </c>
      <c r="B27" s="250">
        <v>357937</v>
      </c>
      <c r="C27" s="230">
        <f t="shared" si="0"/>
        <v>7.6918498028777746E-2</v>
      </c>
      <c r="E27" s="132">
        <v>396691.74150375114</v>
      </c>
      <c r="F27" s="230">
        <f t="shared" si="1"/>
        <v>7.9123305410460004E-2</v>
      </c>
      <c r="H27" s="251">
        <f>+'COEF DIST PART'!AQ27</f>
        <v>5.4975790110099176E-2</v>
      </c>
      <c r="J27" s="252">
        <f t="shared" si="2"/>
        <v>5968471.3016475365</v>
      </c>
      <c r="K27" s="253">
        <f t="shared" si="3"/>
        <v>6139552.7699610218</v>
      </c>
      <c r="L27" s="253">
        <f t="shared" si="4"/>
        <v>3656427.821652743</v>
      </c>
      <c r="M27" s="253">
        <f t="shared" si="5"/>
        <v>15764451.893261302</v>
      </c>
      <c r="N27" s="254">
        <f t="shared" si="6"/>
        <v>7.1107368236762974E-2</v>
      </c>
    </row>
    <row r="28" spans="1:14">
      <c r="A28" s="7" t="s">
        <v>21</v>
      </c>
      <c r="B28" s="250">
        <v>14437</v>
      </c>
      <c r="C28" s="230">
        <f t="shared" si="0"/>
        <v>3.1024240468056226E-3</v>
      </c>
      <c r="E28" s="132">
        <v>14830.57339713669</v>
      </c>
      <c r="F28" s="230">
        <f t="shared" si="1"/>
        <v>2.9580751640194995E-3</v>
      </c>
      <c r="H28" s="251">
        <f>+'COEF DIST PART'!AQ28</f>
        <v>8.2529288303473912E-3</v>
      </c>
      <c r="J28" s="252">
        <f t="shared" si="2"/>
        <v>240731.80526708745</v>
      </c>
      <c r="K28" s="253">
        <f t="shared" si="3"/>
        <v>229531.09040118445</v>
      </c>
      <c r="L28" s="253">
        <f t="shared" si="4"/>
        <v>548900.4982914977</v>
      </c>
      <c r="M28" s="253">
        <f t="shared" si="5"/>
        <v>1019163.3939597696</v>
      </c>
      <c r="N28" s="254">
        <f t="shared" si="6"/>
        <v>4.597053372893011E-3</v>
      </c>
    </row>
    <row r="29" spans="1:14">
      <c r="A29" s="7" t="s">
        <v>22</v>
      </c>
      <c r="B29" s="250">
        <v>1277</v>
      </c>
      <c r="C29" s="230">
        <f t="shared" si="0"/>
        <v>2.7441958216878717E-4</v>
      </c>
      <c r="E29" s="132">
        <v>1226.0103761586849</v>
      </c>
      <c r="F29" s="230">
        <f t="shared" si="1"/>
        <v>2.4453746645058223E-4</v>
      </c>
      <c r="H29" s="251">
        <f>+'COEF DIST PART'!AQ29</f>
        <v>7.6351623952755567E-4</v>
      </c>
      <c r="J29" s="252">
        <f t="shared" si="2"/>
        <v>21293.517720168365</v>
      </c>
      <c r="K29" s="253">
        <f t="shared" si="3"/>
        <v>18974.822547130923</v>
      </c>
      <c r="L29" s="253">
        <f t="shared" si="4"/>
        <v>50781.298729881921</v>
      </c>
      <c r="M29" s="253">
        <f t="shared" si="5"/>
        <v>91049.638997181202</v>
      </c>
      <c r="N29" s="254">
        <f t="shared" si="6"/>
        <v>4.1068983887504603E-4</v>
      </c>
    </row>
    <row r="30" spans="1:14">
      <c r="A30" s="7" t="s">
        <v>23</v>
      </c>
      <c r="B30" s="250">
        <v>5942</v>
      </c>
      <c r="C30" s="230">
        <f t="shared" si="0"/>
        <v>1.2768998882121639E-3</v>
      </c>
      <c r="E30" s="132">
        <v>6130.6523271330461</v>
      </c>
      <c r="F30" s="230">
        <f t="shared" si="1"/>
        <v>1.2228070960244794E-3</v>
      </c>
      <c r="H30" s="251">
        <f>+'COEF DIST PART'!AQ30</f>
        <v>6.3683654510548306E-3</v>
      </c>
      <c r="J30" s="252">
        <f t="shared" si="2"/>
        <v>99080.722234330795</v>
      </c>
      <c r="K30" s="253">
        <f t="shared" si="3"/>
        <v>94883.40577506517</v>
      </c>
      <c r="L30" s="253">
        <f t="shared" si="4"/>
        <v>423558.59855866642</v>
      </c>
      <c r="M30" s="253">
        <f t="shared" si="5"/>
        <v>617522.72656806232</v>
      </c>
      <c r="N30" s="254">
        <f t="shared" si="6"/>
        <v>2.7854070797992741E-3</v>
      </c>
    </row>
    <row r="31" spans="1:14">
      <c r="A31" s="7" t="s">
        <v>24</v>
      </c>
      <c r="B31" s="250">
        <v>55213</v>
      </c>
      <c r="C31" s="230">
        <f t="shared" si="0"/>
        <v>1.1864940008054225E-2</v>
      </c>
      <c r="E31" s="132">
        <v>72555.24513941948</v>
      </c>
      <c r="F31" s="230">
        <f t="shared" si="1"/>
        <v>1.4471717506735126E-2</v>
      </c>
      <c r="H31" s="251">
        <f>+'COEF DIST PART'!AQ31</f>
        <v>6.1444280477550139E-3</v>
      </c>
      <c r="J31" s="252">
        <f t="shared" si="2"/>
        <v>920657.00382431934</v>
      </c>
      <c r="K31" s="253">
        <f t="shared" si="3"/>
        <v>1122929.241184396</v>
      </c>
      <c r="L31" s="253">
        <f t="shared" si="4"/>
        <v>408664.5706584889</v>
      </c>
      <c r="M31" s="253">
        <f t="shared" si="5"/>
        <v>2452250.8156672046</v>
      </c>
      <c r="N31" s="254">
        <f t="shared" si="6"/>
        <v>1.1061158544502781E-2</v>
      </c>
    </row>
    <row r="32" spans="1:14">
      <c r="A32" s="7" t="s">
        <v>25</v>
      </c>
      <c r="B32" s="250">
        <v>678006</v>
      </c>
      <c r="C32" s="230">
        <f t="shared" si="0"/>
        <v>0.14569939172116736</v>
      </c>
      <c r="E32" s="132">
        <v>695507.14550914976</v>
      </c>
      <c r="F32" s="230">
        <f t="shared" si="1"/>
        <v>0.13872440117021526</v>
      </c>
      <c r="H32" s="251">
        <f>+'COEF DIST PART'!AQ32</f>
        <v>9.1100825808153083E-2</v>
      </c>
      <c r="J32" s="252">
        <f t="shared" si="2"/>
        <v>11305507.263414621</v>
      </c>
      <c r="K32" s="253">
        <f t="shared" si="3"/>
        <v>10764284.644675432</v>
      </c>
      <c r="L32" s="253">
        <f t="shared" si="4"/>
        <v>6059096.0747152464</v>
      </c>
      <c r="M32" s="253">
        <f t="shared" si="5"/>
        <v>28128887.982805301</v>
      </c>
      <c r="N32" s="254">
        <f t="shared" si="6"/>
        <v>0.12687857525442986</v>
      </c>
    </row>
    <row r="33" spans="1:14">
      <c r="A33" s="7" t="s">
        <v>26</v>
      </c>
      <c r="B33" s="250">
        <v>2030</v>
      </c>
      <c r="C33" s="230">
        <f t="shared" si="0"/>
        <v>4.3623473124717146E-4</v>
      </c>
      <c r="E33" s="132">
        <v>2102.4927672907047</v>
      </c>
      <c r="F33" s="230">
        <f t="shared" si="1"/>
        <v>4.1935881175396883E-4</v>
      </c>
      <c r="H33" s="251">
        <f>+'COEF DIST PART'!AQ33</f>
        <v>1.7577393339478847E-3</v>
      </c>
      <c r="J33" s="252">
        <f t="shared" si="2"/>
        <v>33849.523079046026</v>
      </c>
      <c r="K33" s="253">
        <f t="shared" si="3"/>
        <v>32540.040395876498</v>
      </c>
      <c r="L33" s="253">
        <f t="shared" si="4"/>
        <v>116906.86011040602</v>
      </c>
      <c r="M33" s="253">
        <f t="shared" si="5"/>
        <v>183296.42358532856</v>
      </c>
      <c r="N33" s="254">
        <f t="shared" si="6"/>
        <v>8.2677954023476462E-4</v>
      </c>
    </row>
    <row r="34" spans="1:14">
      <c r="A34" s="7" t="s">
        <v>27</v>
      </c>
      <c r="B34" s="250">
        <v>16604</v>
      </c>
      <c r="C34" s="230">
        <f t="shared" si="0"/>
        <v>3.5680992500630713E-3</v>
      </c>
      <c r="E34" s="132">
        <v>17587.949544106585</v>
      </c>
      <c r="F34" s="230">
        <f t="shared" si="1"/>
        <v>3.5080556455419601E-3</v>
      </c>
      <c r="H34" s="251">
        <f>+'COEF DIST PART'!AQ34</f>
        <v>4.2492059995571773E-3</v>
      </c>
      <c r="J34" s="252">
        <f t="shared" si="2"/>
        <v>276865.7542879213</v>
      </c>
      <c r="K34" s="253">
        <f t="shared" si="3"/>
        <v>272206.68605835643</v>
      </c>
      <c r="L34" s="253">
        <f t="shared" si="4"/>
        <v>282613.76517916477</v>
      </c>
      <c r="M34" s="253">
        <f t="shared" si="5"/>
        <v>831686.20552544249</v>
      </c>
      <c r="N34" s="254">
        <f t="shared" si="6"/>
        <v>3.7514160133289148E-3</v>
      </c>
    </row>
    <row r="35" spans="1:14">
      <c r="A35" s="7" t="s">
        <v>28</v>
      </c>
      <c r="B35" s="250">
        <v>1594</v>
      </c>
      <c r="C35" s="230">
        <f t="shared" si="0"/>
        <v>3.425409663093553E-4</v>
      </c>
      <c r="E35" s="132">
        <v>1705.5911887427751</v>
      </c>
      <c r="F35" s="230">
        <f t="shared" si="1"/>
        <v>3.4019365268537615E-4</v>
      </c>
      <c r="H35" s="251">
        <f>+'COEF DIST PART'!AQ35</f>
        <v>2.5207818044375345E-3</v>
      </c>
      <c r="J35" s="252">
        <f t="shared" si="2"/>
        <v>26579.379205911016</v>
      </c>
      <c r="K35" s="253">
        <f t="shared" si="3"/>
        <v>26397.240001951988</v>
      </c>
      <c r="L35" s="253">
        <f t="shared" si="4"/>
        <v>167656.64856480545</v>
      </c>
      <c r="M35" s="253">
        <f t="shared" si="5"/>
        <v>220633.26777266845</v>
      </c>
      <c r="N35" s="254">
        <f t="shared" si="6"/>
        <v>9.9519165797941648E-4</v>
      </c>
    </row>
    <row r="36" spans="1:14">
      <c r="A36" s="7" t="s">
        <v>29</v>
      </c>
      <c r="B36" s="250">
        <v>6914</v>
      </c>
      <c r="C36" s="230">
        <f t="shared" si="0"/>
        <v>1.4857768137157357E-3</v>
      </c>
      <c r="E36" s="132">
        <v>7185.9406571904201</v>
      </c>
      <c r="F36" s="230">
        <f t="shared" si="1"/>
        <v>1.4332927000824463E-3</v>
      </c>
      <c r="H36" s="251">
        <f>+'COEF DIST PART'!AQ36</f>
        <v>2.8196387412202221E-3</v>
      </c>
      <c r="J36" s="252">
        <f t="shared" si="2"/>
        <v>115288.47417168682</v>
      </c>
      <c r="K36" s="253">
        <f t="shared" si="3"/>
        <v>111215.98271591894</v>
      </c>
      <c r="L36" s="253">
        <f t="shared" si="4"/>
        <v>187533.55831285458</v>
      </c>
      <c r="M36" s="253">
        <f t="shared" si="5"/>
        <v>414038.01520046033</v>
      </c>
      <c r="N36" s="254">
        <f t="shared" si="6"/>
        <v>1.8675659521954304E-3</v>
      </c>
    </row>
    <row r="37" spans="1:14">
      <c r="A37" s="7" t="s">
        <v>30</v>
      </c>
      <c r="B37" s="250">
        <v>3558</v>
      </c>
      <c r="C37" s="230">
        <f t="shared" si="0"/>
        <v>7.6459269644208675E-4</v>
      </c>
      <c r="E37" s="132">
        <v>3621.9634651034498</v>
      </c>
      <c r="F37" s="230">
        <f t="shared" si="1"/>
        <v>7.2242926043419615E-4</v>
      </c>
      <c r="H37" s="251">
        <f>+'COEF DIST PART'!AQ37</f>
        <v>3.3052908458375153E-3</v>
      </c>
      <c r="J37" s="252">
        <f t="shared" si="2"/>
        <v>59328.375918840284</v>
      </c>
      <c r="K37" s="253">
        <f t="shared" si="3"/>
        <v>56056.714819870351</v>
      </c>
      <c r="L37" s="253">
        <f t="shared" si="4"/>
        <v>219834.17397314083</v>
      </c>
      <c r="M37" s="253">
        <f t="shared" si="5"/>
        <v>335219.26471185149</v>
      </c>
      <c r="N37" s="254">
        <f t="shared" si="6"/>
        <v>1.5120449386579538E-3</v>
      </c>
    </row>
    <row r="38" spans="1:14">
      <c r="A38" s="7" t="s">
        <v>31</v>
      </c>
      <c r="B38" s="250">
        <v>256970</v>
      </c>
      <c r="C38" s="230">
        <f t="shared" si="0"/>
        <v>5.5221299945116084E-2</v>
      </c>
      <c r="E38" s="132">
        <v>324376.89247823716</v>
      </c>
      <c r="F38" s="230">
        <f t="shared" si="1"/>
        <v>6.4699536810016514E-2</v>
      </c>
      <c r="H38" s="251">
        <f>+'COEF DIST PART'!AQ38</f>
        <v>3.2161844118206218E-2</v>
      </c>
      <c r="J38" s="252">
        <f t="shared" si="2"/>
        <v>4284882.7318337234</v>
      </c>
      <c r="K38" s="253">
        <f t="shared" si="3"/>
        <v>5020344.1119715804</v>
      </c>
      <c r="L38" s="253">
        <f t="shared" si="4"/>
        <v>2139077.2446190803</v>
      </c>
      <c r="M38" s="253">
        <f t="shared" si="5"/>
        <v>11444304.088424385</v>
      </c>
      <c r="N38" s="254">
        <f t="shared" si="6"/>
        <v>5.1620846099758283E-2</v>
      </c>
    </row>
    <row r="39" spans="1:14">
      <c r="A39" s="7" t="s">
        <v>32</v>
      </c>
      <c r="B39" s="250">
        <v>5349</v>
      </c>
      <c r="C39" s="230">
        <f t="shared" si="0"/>
        <v>1.1494677721384829E-3</v>
      </c>
      <c r="E39" s="132">
        <v>5919.6478022652846</v>
      </c>
      <c r="F39" s="230">
        <f t="shared" si="1"/>
        <v>1.1807205746343105E-3</v>
      </c>
      <c r="H39" s="251">
        <f>+'COEF DIST PART'!AQ39</f>
        <v>6.2017713468222602E-3</v>
      </c>
      <c r="J39" s="252">
        <f t="shared" si="2"/>
        <v>89192.659581190746</v>
      </c>
      <c r="K39" s="253">
        <f t="shared" si="3"/>
        <v>91617.71284630544</v>
      </c>
      <c r="L39" s="253">
        <f t="shared" si="4"/>
        <v>412478.46098502952</v>
      </c>
      <c r="M39" s="253">
        <f t="shared" si="5"/>
        <v>593288.83341252571</v>
      </c>
      <c r="N39" s="254">
        <f t="shared" si="6"/>
        <v>2.676097325417156E-3</v>
      </c>
    </row>
    <row r="40" spans="1:14">
      <c r="A40" s="7" t="s">
        <v>33</v>
      </c>
      <c r="B40" s="250">
        <v>78669</v>
      </c>
      <c r="C40" s="230">
        <f t="shared" si="0"/>
        <v>1.6905492646543709E-2</v>
      </c>
      <c r="E40" s="132">
        <v>84226.291649281251</v>
      </c>
      <c r="F40" s="230">
        <f t="shared" si="1"/>
        <v>1.6799600043333748E-2</v>
      </c>
      <c r="H40" s="251">
        <f>+'COEF DIST PART'!AQ40</f>
        <v>2.1848592109518783E-2</v>
      </c>
      <c r="J40" s="252">
        <f t="shared" ref="J40:J58" si="7">+C40*J$6</f>
        <v>1311777.4044854541</v>
      </c>
      <c r="K40" s="253">
        <f t="shared" ref="K40:K58" si="8">+F40*K$6</f>
        <v>1303560.6948575706</v>
      </c>
      <c r="L40" s="253">
        <f t="shared" ref="L40:L58" si="9">+H40*L$6</f>
        <v>1453145.1006560705</v>
      </c>
      <c r="M40" s="253">
        <f t="shared" si="5"/>
        <v>4068483.1999990949</v>
      </c>
      <c r="N40" s="254">
        <f t="shared" si="6"/>
        <v>1.8351360074312748E-2</v>
      </c>
    </row>
    <row r="41" spans="1:14">
      <c r="A41" s="7" t="s">
        <v>34</v>
      </c>
      <c r="B41" s="250">
        <v>5488</v>
      </c>
      <c r="C41" s="230">
        <f t="shared" si="0"/>
        <v>1.1793380320613187E-3</v>
      </c>
      <c r="E41" s="132">
        <v>5664.6363967024718</v>
      </c>
      <c r="F41" s="230">
        <f t="shared" si="1"/>
        <v>1.1298565328243897E-3</v>
      </c>
      <c r="H41" s="251">
        <f>+'COEF DIST PART'!AQ41</f>
        <v>4.5623405003454975E-3</v>
      </c>
      <c r="J41" s="252">
        <f t="shared" si="7"/>
        <v>91510.434806800302</v>
      </c>
      <c r="K41" s="253">
        <f t="shared" si="8"/>
        <v>87670.930451845095</v>
      </c>
      <c r="L41" s="253">
        <f t="shared" si="9"/>
        <v>303440.27259831736</v>
      </c>
      <c r="M41" s="253">
        <f t="shared" si="5"/>
        <v>482621.63785696274</v>
      </c>
      <c r="N41" s="254">
        <f t="shared" si="6"/>
        <v>2.1769202478136474E-3</v>
      </c>
    </row>
    <row r="42" spans="1:14">
      <c r="A42" s="7" t="s">
        <v>35</v>
      </c>
      <c r="B42" s="250">
        <v>862</v>
      </c>
      <c r="C42" s="230">
        <f t="shared" si="0"/>
        <v>1.8523859031283833E-4</v>
      </c>
      <c r="E42" s="132">
        <v>812.79227607172083</v>
      </c>
      <c r="F42" s="230">
        <f t="shared" si="1"/>
        <v>1.6211784810820813E-4</v>
      </c>
      <c r="H42" s="251">
        <f>+'COEF DIST PART'!AQ42</f>
        <v>4.2853742553061866E-3</v>
      </c>
      <c r="J42" s="252">
        <f t="shared" si="7"/>
        <v>14373.541327161418</v>
      </c>
      <c r="K42" s="253">
        <f t="shared" si="8"/>
        <v>12579.493213149914</v>
      </c>
      <c r="L42" s="253">
        <f t="shared" si="9"/>
        <v>285019.30798839917</v>
      </c>
      <c r="M42" s="253">
        <f t="shared" si="5"/>
        <v>311972.34252871049</v>
      </c>
      <c r="N42" s="254">
        <f t="shared" si="6"/>
        <v>1.4071870300392225E-3</v>
      </c>
    </row>
    <row r="43" spans="1:14">
      <c r="A43" s="7" t="s">
        <v>36</v>
      </c>
      <c r="B43" s="250">
        <v>7095</v>
      </c>
      <c r="C43" s="230">
        <f t="shared" si="0"/>
        <v>1.5246726198023062E-3</v>
      </c>
      <c r="E43" s="132">
        <v>7208.079975654251</v>
      </c>
      <c r="F43" s="230">
        <f t="shared" si="1"/>
        <v>1.4377085622573247E-3</v>
      </c>
      <c r="H43" s="251">
        <f>+'COEF DIST PART'!AQ43</f>
        <v>4.8101144713924536E-3</v>
      </c>
      <c r="J43" s="252">
        <f t="shared" si="7"/>
        <v>118306.58435755251</v>
      </c>
      <c r="K43" s="253">
        <f t="shared" si="8"/>
        <v>111558.63041885421</v>
      </c>
      <c r="L43" s="253">
        <f t="shared" si="9"/>
        <v>319919.66542565287</v>
      </c>
      <c r="M43" s="253">
        <f t="shared" si="5"/>
        <v>549784.88020205963</v>
      </c>
      <c r="N43" s="254">
        <f t="shared" si="6"/>
        <v>2.4798677551386072E-3</v>
      </c>
    </row>
    <row r="44" spans="1:14">
      <c r="A44" s="7" t="s">
        <v>37</v>
      </c>
      <c r="B44" s="250">
        <v>5447</v>
      </c>
      <c r="C44" s="230">
        <f t="shared" si="0"/>
        <v>1.1705273798538634E-3</v>
      </c>
      <c r="E44" s="132">
        <v>5603.3721557103136</v>
      </c>
      <c r="F44" s="230">
        <f t="shared" si="1"/>
        <v>1.1176368953991504E-3</v>
      </c>
      <c r="H44" s="251">
        <f>+'COEF DIST PART'!AQ44</f>
        <v>6.8866665151271229E-3</v>
      </c>
      <c r="J44" s="252">
        <f t="shared" si="7"/>
        <v>90826.774488455019</v>
      </c>
      <c r="K44" s="253">
        <f t="shared" si="8"/>
        <v>86722.750792099367</v>
      </c>
      <c r="L44" s="253">
        <f t="shared" si="9"/>
        <v>458030.68939848524</v>
      </c>
      <c r="M44" s="253">
        <f t="shared" si="5"/>
        <v>635580.21467903955</v>
      </c>
      <c r="N44" s="254">
        <f t="shared" si="6"/>
        <v>2.8668574508766915E-3</v>
      </c>
    </row>
    <row r="45" spans="1:14">
      <c r="A45" s="7" t="s">
        <v>38</v>
      </c>
      <c r="B45" s="250">
        <v>59113</v>
      </c>
      <c r="C45" s="230">
        <f t="shared" si="0"/>
        <v>1.2703026437543865E-2</v>
      </c>
      <c r="E45" s="132">
        <v>63137.527622640737</v>
      </c>
      <c r="F45" s="230">
        <f t="shared" si="1"/>
        <v>1.2593279260138866E-2</v>
      </c>
      <c r="H45" s="251">
        <f>+'COEF DIST PART'!AQ45</f>
        <v>1.5296111002358557E-2</v>
      </c>
      <c r="J45" s="252">
        <f t="shared" si="7"/>
        <v>985688.10727667378</v>
      </c>
      <c r="K45" s="253">
        <f t="shared" si="8"/>
        <v>977172.30294396973</v>
      </c>
      <c r="L45" s="253">
        <f t="shared" si="9"/>
        <v>1017341.009926443</v>
      </c>
      <c r="M45" s="253">
        <f t="shared" si="5"/>
        <v>2980201.4201470865</v>
      </c>
      <c r="N45" s="254">
        <f t="shared" si="6"/>
        <v>1.3442540294896525E-2</v>
      </c>
    </row>
    <row r="46" spans="1:14">
      <c r="A46" s="7" t="s">
        <v>39</v>
      </c>
      <c r="B46" s="250">
        <v>1135550</v>
      </c>
      <c r="C46" s="230">
        <f t="shared" si="0"/>
        <v>0.24402283205306677</v>
      </c>
      <c r="E46" s="132">
        <v>1173608.0373724981</v>
      </c>
      <c r="F46" s="230">
        <f t="shared" si="1"/>
        <v>0.23408540551206972</v>
      </c>
      <c r="H46" s="251">
        <f>+'COEF DIST PART'!AQ46</f>
        <v>0.22737573436461997</v>
      </c>
      <c r="J46" s="252">
        <f t="shared" si="7"/>
        <v>18934889.621877201</v>
      </c>
      <c r="K46" s="253">
        <f t="shared" si="8"/>
        <v>18163797.535549916</v>
      </c>
      <c r="L46" s="253">
        <f t="shared" si="9"/>
        <v>15122710.550126195</v>
      </c>
      <c r="M46" s="253">
        <f t="shared" si="5"/>
        <v>52221397.707553312</v>
      </c>
      <c r="N46" s="254">
        <f t="shared" si="6"/>
        <v>0.23555060345718382</v>
      </c>
    </row>
    <row r="47" spans="1:14">
      <c r="A47" s="7" t="s">
        <v>40</v>
      </c>
      <c r="B47" s="250">
        <v>1034</v>
      </c>
      <c r="C47" s="230">
        <f t="shared" si="0"/>
        <v>2.2220035079289422E-4</v>
      </c>
      <c r="E47" s="132">
        <v>1101.7536062726638</v>
      </c>
      <c r="F47" s="230">
        <f t="shared" si="1"/>
        <v>2.1975347090850226E-4</v>
      </c>
      <c r="H47" s="251">
        <f>+'COEF DIST PART'!AQ47</f>
        <v>1.5659360687651357E-3</v>
      </c>
      <c r="J47" s="252">
        <f t="shared" si="7"/>
        <v>17241.579735829357</v>
      </c>
      <c r="K47" s="253">
        <f t="shared" si="8"/>
        <v>17051.714713203612</v>
      </c>
      <c r="L47" s="253">
        <f t="shared" si="9"/>
        <v>104150.06673474867</v>
      </c>
      <c r="M47" s="253">
        <f t="shared" si="5"/>
        <v>138443.36118378164</v>
      </c>
      <c r="N47" s="254">
        <f t="shared" si="6"/>
        <v>6.2446465822502953E-4</v>
      </c>
    </row>
    <row r="48" spans="1:14">
      <c r="A48" s="7" t="s">
        <v>41</v>
      </c>
      <c r="B48" s="250">
        <v>20843</v>
      </c>
      <c r="C48" s="230">
        <f t="shared" si="0"/>
        <v>4.4790347307314257E-3</v>
      </c>
      <c r="E48" s="132">
        <v>26696.045454591163</v>
      </c>
      <c r="F48" s="230">
        <f t="shared" si="1"/>
        <v>5.3247374138621064E-3</v>
      </c>
      <c r="H48" s="251">
        <f>+'COEF DIST PART'!AQ48</f>
        <v>4.414053789281204E-3</v>
      </c>
      <c r="J48" s="252">
        <f t="shared" si="7"/>
        <v>347549.56134805729</v>
      </c>
      <c r="K48" s="253">
        <f t="shared" si="8"/>
        <v>413171.64606561553</v>
      </c>
      <c r="L48" s="253">
        <f t="shared" si="9"/>
        <v>293577.75575533957</v>
      </c>
      <c r="M48" s="253">
        <f t="shared" si="5"/>
        <v>1054298.9631690125</v>
      </c>
      <c r="N48" s="254">
        <f t="shared" si="6"/>
        <v>4.7555363873920979E-3</v>
      </c>
    </row>
    <row r="49" spans="1:14">
      <c r="A49" s="7" t="s">
        <v>42</v>
      </c>
      <c r="B49" s="250">
        <v>5359</v>
      </c>
      <c r="C49" s="230">
        <f t="shared" si="0"/>
        <v>1.1516167117012767E-3</v>
      </c>
      <c r="E49" s="132">
        <v>5113.0352032684077</v>
      </c>
      <c r="F49" s="230">
        <f t="shared" si="1"/>
        <v>1.0198353119958111E-3</v>
      </c>
      <c r="H49" s="251">
        <f>+'COEF DIST PART'!AQ49</f>
        <v>2.7796864042817842E-3</v>
      </c>
      <c r="J49" s="252">
        <f t="shared" si="7"/>
        <v>89359.406000299336</v>
      </c>
      <c r="K49" s="253">
        <f t="shared" si="8"/>
        <v>79133.861789350936</v>
      </c>
      <c r="L49" s="253">
        <f t="shared" si="9"/>
        <v>184876.33708821752</v>
      </c>
      <c r="M49" s="253">
        <f t="shared" si="5"/>
        <v>353369.60487786779</v>
      </c>
      <c r="N49" s="254">
        <f t="shared" si="6"/>
        <v>1.5939141295785162E-3</v>
      </c>
    </row>
    <row r="50" spans="1:14">
      <c r="A50" s="7" t="s">
        <v>43</v>
      </c>
      <c r="B50" s="250">
        <v>2628</v>
      </c>
      <c r="C50" s="230">
        <f t="shared" si="0"/>
        <v>5.6474131710224952E-4</v>
      </c>
      <c r="E50" s="132">
        <v>2706.6054479720769</v>
      </c>
      <c r="F50" s="230">
        <f t="shared" si="1"/>
        <v>5.3985386404492239E-4</v>
      </c>
      <c r="H50" s="251">
        <f>+'COEF DIST PART'!AQ50</f>
        <v>3.8251269287511648E-3</v>
      </c>
      <c r="J50" s="252">
        <f t="shared" si="7"/>
        <v>43820.958941740377</v>
      </c>
      <c r="K50" s="253">
        <f t="shared" si="8"/>
        <v>41889.823348216647</v>
      </c>
      <c r="L50" s="253">
        <f t="shared" si="9"/>
        <v>254408.35858163598</v>
      </c>
      <c r="M50" s="253">
        <f t="shared" si="5"/>
        <v>340119.14087159303</v>
      </c>
      <c r="N50" s="254">
        <f t="shared" si="6"/>
        <v>1.5341463920268599E-3</v>
      </c>
    </row>
    <row r="51" spans="1:14">
      <c r="A51" s="7" t="s">
        <v>44</v>
      </c>
      <c r="B51" s="250">
        <v>34671</v>
      </c>
      <c r="C51" s="230">
        <f t="shared" si="0"/>
        <v>7.4505883581628971E-3</v>
      </c>
      <c r="E51" s="132">
        <v>36790.819509686633</v>
      </c>
      <c r="F51" s="230">
        <f t="shared" si="1"/>
        <v>7.3382199420920363E-3</v>
      </c>
      <c r="H51" s="251">
        <f>+'COEF DIST PART'!AQ51</f>
        <v>7.5887771544364425E-3</v>
      </c>
      <c r="J51" s="252">
        <f t="shared" si="7"/>
        <v>578126.50969143095</v>
      </c>
      <c r="K51" s="253">
        <f t="shared" si="8"/>
        <v>569407.31101077539</v>
      </c>
      <c r="L51" s="253">
        <f t="shared" si="9"/>
        <v>504727.91503740125</v>
      </c>
      <c r="M51" s="253">
        <f t="shared" si="5"/>
        <v>1652261.7357396076</v>
      </c>
      <c r="N51" s="254">
        <f t="shared" si="6"/>
        <v>7.4527160514201605E-3</v>
      </c>
    </row>
    <row r="52" spans="1:14">
      <c r="A52" s="7" t="s">
        <v>45</v>
      </c>
      <c r="B52" s="250">
        <v>32660</v>
      </c>
      <c r="C52" s="230">
        <f t="shared" si="0"/>
        <v>7.018436612085034E-3</v>
      </c>
      <c r="E52" s="132">
        <v>35716.659649339097</v>
      </c>
      <c r="F52" s="230">
        <f t="shared" si="1"/>
        <v>7.1239702620564576E-3</v>
      </c>
      <c r="H52" s="251">
        <f>+'COEF DIST PART'!AQ52</f>
        <v>9.6077745332718307E-3</v>
      </c>
      <c r="J52" s="252">
        <f t="shared" si="7"/>
        <v>544593.80480869126</v>
      </c>
      <c r="K52" s="253">
        <f t="shared" si="8"/>
        <v>552782.66155127739</v>
      </c>
      <c r="L52" s="253">
        <f t="shared" si="9"/>
        <v>639010.9907882585</v>
      </c>
      <c r="M52" s="253">
        <f t="shared" si="5"/>
        <v>1736387.4571482274</v>
      </c>
      <c r="N52" s="254">
        <f t="shared" si="6"/>
        <v>7.8321747659310728E-3</v>
      </c>
    </row>
    <row r="53" spans="1:14">
      <c r="A53" s="7" t="s">
        <v>46</v>
      </c>
      <c r="B53" s="250">
        <v>443273</v>
      </c>
      <c r="C53" s="230">
        <f t="shared" si="0"/>
        <v>9.5256688681836177E-2</v>
      </c>
      <c r="E53" s="132">
        <v>447258.94979590888</v>
      </c>
      <c r="F53" s="230">
        <f t="shared" si="1"/>
        <v>8.9209335057278114E-2</v>
      </c>
      <c r="H53" s="251">
        <f>+'COEF DIST PART'!AQ53</f>
        <v>7.7764181175000266E-2</v>
      </c>
      <c r="J53" s="252">
        <f t="shared" si="7"/>
        <v>7391418.5437526945</v>
      </c>
      <c r="K53" s="253">
        <f t="shared" si="8"/>
        <v>6922175.6765091708</v>
      </c>
      <c r="L53" s="253">
        <f t="shared" si="9"/>
        <v>5172078.7460602904</v>
      </c>
      <c r="M53" s="253">
        <f t="shared" si="5"/>
        <v>19485672.966322154</v>
      </c>
      <c r="N53" s="254">
        <f t="shared" si="6"/>
        <v>8.7892362661190077E-2</v>
      </c>
    </row>
    <row r="54" spans="1:14">
      <c r="A54" s="7" t="s">
        <v>47</v>
      </c>
      <c r="B54" s="250">
        <v>122659</v>
      </c>
      <c r="C54" s="230">
        <f t="shared" si="0"/>
        <v>2.6358677783274286E-2</v>
      </c>
      <c r="E54" s="132">
        <v>129342.42162656234</v>
      </c>
      <c r="F54" s="230">
        <f t="shared" si="1"/>
        <v>2.579836900584986E-2</v>
      </c>
      <c r="H54" s="251">
        <f>+'COEF DIST PART'!AQ54</f>
        <v>0.10090398006758942</v>
      </c>
      <c r="J54" s="252">
        <f t="shared" si="7"/>
        <v>2045294.9021441904</v>
      </c>
      <c r="K54" s="253">
        <f t="shared" si="8"/>
        <v>2001817.8849919869</v>
      </c>
      <c r="L54" s="253">
        <f t="shared" si="9"/>
        <v>6711101.7285197908</v>
      </c>
      <c r="M54" s="253">
        <f t="shared" si="5"/>
        <v>10758214.515655968</v>
      </c>
      <c r="N54" s="254">
        <f t="shared" si="6"/>
        <v>4.8526160396470286E-2</v>
      </c>
    </row>
    <row r="55" spans="1:14">
      <c r="A55" s="7" t="s">
        <v>48</v>
      </c>
      <c r="B55" s="250">
        <v>268955</v>
      </c>
      <c r="C55" s="230">
        <f t="shared" si="0"/>
        <v>5.7796804011124629E-2</v>
      </c>
      <c r="E55" s="132">
        <v>282272.28420908435</v>
      </c>
      <c r="F55" s="230">
        <f t="shared" si="1"/>
        <v>5.6301439671318065E-2</v>
      </c>
      <c r="H55" s="251">
        <f>+'COEF DIST PART'!AQ55</f>
        <v>4.2947528633909673E-2</v>
      </c>
      <c r="J55" s="252">
        <f t="shared" si="7"/>
        <v>4484728.3151353812</v>
      </c>
      <c r="K55" s="253">
        <f t="shared" si="8"/>
        <v>4368695.8993138522</v>
      </c>
      <c r="L55" s="253">
        <f t="shared" si="9"/>
        <v>2856430.771686309</v>
      </c>
      <c r="M55" s="253">
        <f t="shared" si="5"/>
        <v>11709854.986135542</v>
      </c>
      <c r="N55" s="254">
        <f t="shared" si="6"/>
        <v>5.2818643879027849E-2</v>
      </c>
    </row>
    <row r="56" spans="1:14">
      <c r="A56" s="7" t="s">
        <v>49</v>
      </c>
      <c r="B56" s="250">
        <v>40469</v>
      </c>
      <c r="C56" s="230">
        <f t="shared" si="0"/>
        <v>8.6965435166708287E-3</v>
      </c>
      <c r="E56" s="132">
        <v>42729.787294817375</v>
      </c>
      <c r="F56" s="230">
        <f t="shared" si="1"/>
        <v>8.5227940401170627E-3</v>
      </c>
      <c r="H56" s="251">
        <f>+'COEF DIST PART'!AQ56</f>
        <v>1.0558692799177991E-2</v>
      </c>
      <c r="J56" s="252">
        <f t="shared" si="7"/>
        <v>674806.0834905979</v>
      </c>
      <c r="K56" s="253">
        <f t="shared" si="8"/>
        <v>661324.03702500719</v>
      </c>
      <c r="L56" s="253">
        <f t="shared" si="9"/>
        <v>702256.35745991173</v>
      </c>
      <c r="M56" s="253">
        <f t="shared" si="5"/>
        <v>2038386.4779755166</v>
      </c>
      <c r="N56" s="254">
        <f t="shared" si="6"/>
        <v>9.1943759846291606E-3</v>
      </c>
    </row>
    <row r="57" spans="1:14">
      <c r="A57" s="7" t="s">
        <v>50</v>
      </c>
      <c r="B57" s="250">
        <v>1971</v>
      </c>
      <c r="C57" s="230">
        <f t="shared" si="0"/>
        <v>4.2355598782668714E-4</v>
      </c>
      <c r="E57" s="132">
        <v>2054.28413116813</v>
      </c>
      <c r="F57" s="230">
        <f t="shared" si="1"/>
        <v>4.0974321798110941E-4</v>
      </c>
      <c r="H57" s="251">
        <f>+'COEF DIST PART'!AQ57</f>
        <v>2.6534667650953176E-3</v>
      </c>
      <c r="J57" s="252">
        <f t="shared" si="7"/>
        <v>32865.719206305279</v>
      </c>
      <c r="K57" s="253">
        <f t="shared" si="8"/>
        <v>31793.920841382071</v>
      </c>
      <c r="L57" s="253">
        <f t="shared" si="9"/>
        <v>176481.49638768184</v>
      </c>
      <c r="M57" s="253">
        <f t="shared" si="5"/>
        <v>241141.1364353692</v>
      </c>
      <c r="N57" s="254">
        <f t="shared" si="6"/>
        <v>1.0876947515613242E-3</v>
      </c>
    </row>
    <row r="58" spans="1:14">
      <c r="A58" s="7" t="s">
        <v>51</v>
      </c>
      <c r="B58" s="250">
        <v>4113</v>
      </c>
      <c r="C58" s="230">
        <f t="shared" si="0"/>
        <v>8.8385884217715089E-4</v>
      </c>
      <c r="E58" s="132">
        <v>4188.9056272856196</v>
      </c>
      <c r="F58" s="230">
        <f t="shared" si="1"/>
        <v>8.3551035881643254E-4</v>
      </c>
      <c r="H58" s="251">
        <f>+'COEF DIST PART'!AQ58</f>
        <v>1.8034826462315762E-3</v>
      </c>
      <c r="J58" s="252">
        <f t="shared" si="7"/>
        <v>68582.802179367645</v>
      </c>
      <c r="K58" s="253">
        <f t="shared" si="8"/>
        <v>64831.213903311233</v>
      </c>
      <c r="L58" s="253">
        <f t="shared" si="9"/>
        <v>119949.23784347136</v>
      </c>
      <c r="M58" s="253">
        <f t="shared" si="5"/>
        <v>253363.25392615021</v>
      </c>
      <c r="N58" s="254">
        <f t="shared" si="6"/>
        <v>1.142824014217227E-3</v>
      </c>
    </row>
    <row r="59" spans="1:14" ht="13.5" thickBot="1">
      <c r="A59" s="11" t="s">
        <v>52</v>
      </c>
      <c r="B59" s="255">
        <f>SUM(B8:B58)</f>
        <v>4653458</v>
      </c>
      <c r="C59" s="231">
        <f>SUM(C8:C58)</f>
        <v>0.99999999999999989</v>
      </c>
      <c r="E59" s="256">
        <f>SUM(E8:E58)</f>
        <v>5013589.099265676</v>
      </c>
      <c r="F59" s="231">
        <f t="shared" si="1"/>
        <v>1</v>
      </c>
      <c r="H59" s="257">
        <f>SUM(H8:H58)</f>
        <v>1</v>
      </c>
      <c r="J59" s="258">
        <f>SUM(J8:J58)</f>
        <v>77594745.797227278</v>
      </c>
      <c r="K59" s="259">
        <f t="shared" ref="K59:L59" si="10">SUM(K8:K58)</f>
        <v>77594745.797227263</v>
      </c>
      <c r="L59" s="259">
        <f t="shared" si="10"/>
        <v>66509782.111909084</v>
      </c>
      <c r="M59" s="259">
        <f>SUM(M8:M58)</f>
        <v>221699273.70636362</v>
      </c>
      <c r="N59" s="260">
        <f>SUM(N8:N58)</f>
        <v>1.0000000000000002</v>
      </c>
    </row>
    <row r="60" spans="1:14" ht="13.5" thickTop="1"/>
    <row r="61" spans="1:14" ht="15.75" customHeight="1">
      <c r="A61" s="50" t="s">
        <v>132</v>
      </c>
    </row>
    <row r="62" spans="1:14">
      <c r="A62" s="50" t="s">
        <v>134</v>
      </c>
    </row>
    <row r="63" spans="1:14">
      <c r="A63" s="50" t="s">
        <v>208</v>
      </c>
    </row>
  </sheetData>
  <mergeCells count="3">
    <mergeCell ref="A1:N1"/>
    <mergeCell ref="B3:C3"/>
    <mergeCell ref="E3:F3"/>
  </mergeCells>
  <printOptions horizontalCentered="1"/>
  <pageMargins left="0.2" right="0.2" top="0.37" bottom="0.15748031496062992" header="0.15748031496062992" footer="0.15748031496062992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87"/>
  <sheetViews>
    <sheetView zoomScaleNormal="100" workbookViewId="0">
      <selection activeCell="A60" sqref="A60:C62"/>
    </sheetView>
  </sheetViews>
  <sheetFormatPr baseColWidth="10" defaultColWidth="9.7109375" defaultRowHeight="12.75"/>
  <cols>
    <col min="1" max="1" width="28.5703125" style="50" customWidth="1"/>
    <col min="2" max="2" width="15" style="50" customWidth="1"/>
    <col min="3" max="3" width="16.140625" style="117" bestFit="1" customWidth="1"/>
    <col min="4" max="4" width="3.85546875" style="47" customWidth="1"/>
    <col min="5" max="5" width="13.42578125" style="50" hidden="1" customWidth="1"/>
    <col min="6" max="6" width="16.140625" style="50" hidden="1" customWidth="1"/>
    <col min="7" max="7" width="12.140625" style="115" hidden="1" customWidth="1"/>
    <col min="8" max="8" width="15.5703125" style="50" hidden="1" customWidth="1"/>
    <col min="9" max="9" width="16.140625" style="50" hidden="1" customWidth="1"/>
    <col min="10" max="10" width="11.5703125" style="115" hidden="1" customWidth="1"/>
    <col min="11" max="11" width="16.28515625" style="117" customWidth="1"/>
    <col min="12" max="12" width="3.140625" style="47" customWidth="1"/>
    <col min="13" max="13" width="14" style="50" hidden="1" customWidth="1"/>
    <col min="14" max="14" width="16.140625" style="50" hidden="1" customWidth="1"/>
    <col min="15" max="15" width="14.140625" style="50" hidden="1" customWidth="1"/>
    <col min="16" max="16" width="15.5703125" style="50" hidden="1" customWidth="1"/>
    <col min="17" max="17" width="14.5703125" style="50" hidden="1" customWidth="1"/>
    <col min="18" max="18" width="17.42578125" style="50" hidden="1" customWidth="1"/>
    <col min="19" max="19" width="14.28515625" style="50" hidden="1" customWidth="1"/>
    <col min="20" max="20" width="15" style="50" hidden="1" customWidth="1"/>
    <col min="21" max="21" width="20.7109375" style="50" hidden="1" customWidth="1"/>
    <col min="22" max="23" width="13.140625" style="50" hidden="1" customWidth="1"/>
    <col min="24" max="24" width="12.42578125" style="50" hidden="1" customWidth="1"/>
    <col min="25" max="25" width="14.42578125" style="50" hidden="1" customWidth="1"/>
    <col min="26" max="26" width="14.28515625" style="50" hidden="1" customWidth="1"/>
    <col min="27" max="27" width="15.42578125" style="50" hidden="1" customWidth="1"/>
    <col min="28" max="28" width="13.5703125" style="50" hidden="1" customWidth="1"/>
    <col min="29" max="29" width="14.140625" style="50" hidden="1" customWidth="1"/>
    <col min="30" max="30" width="0.140625" style="50" customWidth="1"/>
    <col min="31" max="31" width="12.42578125" style="50" hidden="1" customWidth="1"/>
    <col min="32" max="32" width="18.42578125" style="50" hidden="1" customWidth="1"/>
    <col min="33" max="33" width="12.5703125" style="179" hidden="1" customWidth="1"/>
    <col min="34" max="34" width="15.7109375" style="50" hidden="1" customWidth="1"/>
    <col min="35" max="35" width="11.85546875" style="50" hidden="1" customWidth="1"/>
    <col min="36" max="36" width="16.42578125" style="117" customWidth="1"/>
    <col min="37" max="37" width="3.7109375" style="47" customWidth="1"/>
    <col min="38" max="40" width="18.42578125" style="50" customWidth="1"/>
    <col min="41" max="41" width="21.140625" style="50" customWidth="1"/>
    <col min="42" max="42" width="15.42578125" style="117" customWidth="1"/>
    <col min="43" max="16384" width="9.7109375" style="50"/>
  </cols>
  <sheetData>
    <row r="1" spans="1:42" ht="20.25">
      <c r="A1" s="294" t="s">
        <v>235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</row>
    <row r="2" spans="1:42" ht="5.25" customHeight="1" thickBot="1">
      <c r="B2" s="295"/>
      <c r="C2" s="295"/>
      <c r="E2" s="286"/>
      <c r="F2" s="296"/>
      <c r="G2" s="296"/>
      <c r="H2" s="296"/>
      <c r="I2" s="296"/>
      <c r="J2" s="296"/>
      <c r="K2" s="296"/>
      <c r="M2" s="28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</row>
    <row r="3" spans="1:42" ht="51.75" customHeight="1" thickBot="1">
      <c r="A3" s="44" t="s">
        <v>0</v>
      </c>
      <c r="B3" s="122" t="s">
        <v>230</v>
      </c>
      <c r="C3" s="261" t="s">
        <v>161</v>
      </c>
      <c r="D3" s="135"/>
      <c r="E3" s="44" t="s">
        <v>135</v>
      </c>
      <c r="F3" s="45" t="s">
        <v>136</v>
      </c>
      <c r="G3" s="46">
        <v>0.85</v>
      </c>
      <c r="H3" s="44" t="s">
        <v>59</v>
      </c>
      <c r="I3" s="45" t="s">
        <v>162</v>
      </c>
      <c r="J3" s="46">
        <v>0.15</v>
      </c>
      <c r="K3" s="262" t="s">
        <v>163</v>
      </c>
      <c r="M3" s="44" t="s">
        <v>119</v>
      </c>
      <c r="N3" s="44" t="s">
        <v>120</v>
      </c>
      <c r="O3" s="44" t="s">
        <v>139</v>
      </c>
      <c r="P3" s="44" t="s">
        <v>140</v>
      </c>
      <c r="Q3" s="44" t="s">
        <v>121</v>
      </c>
      <c r="R3" s="44" t="s">
        <v>147</v>
      </c>
      <c r="S3" s="44" t="s">
        <v>148</v>
      </c>
      <c r="T3" s="44" t="s">
        <v>143</v>
      </c>
      <c r="U3" s="44" t="s">
        <v>64</v>
      </c>
      <c r="V3" s="44" t="s">
        <v>130</v>
      </c>
      <c r="W3" s="44" t="s">
        <v>131</v>
      </c>
      <c r="X3" s="44" t="s">
        <v>150</v>
      </c>
      <c r="Y3" s="44" t="s">
        <v>149</v>
      </c>
      <c r="Z3" s="44" t="s">
        <v>121</v>
      </c>
      <c r="AA3" s="44" t="s">
        <v>142</v>
      </c>
      <c r="AB3" s="44" t="s">
        <v>145</v>
      </c>
      <c r="AC3" s="44" t="s">
        <v>144</v>
      </c>
      <c r="AD3" s="44" t="s">
        <v>63</v>
      </c>
      <c r="AE3" s="46">
        <v>0.85</v>
      </c>
      <c r="AF3" s="44" t="s">
        <v>146</v>
      </c>
      <c r="AG3" s="180" t="s">
        <v>65</v>
      </c>
      <c r="AH3" s="49" t="s">
        <v>67</v>
      </c>
      <c r="AI3" s="46">
        <v>0.15</v>
      </c>
      <c r="AJ3" s="228" t="s">
        <v>141</v>
      </c>
      <c r="AL3" s="235" t="s">
        <v>165</v>
      </c>
      <c r="AM3" s="235" t="s">
        <v>166</v>
      </c>
      <c r="AN3" s="235" t="s">
        <v>167</v>
      </c>
      <c r="AO3" s="235" t="s">
        <v>104</v>
      </c>
      <c r="AP3" s="240" t="s">
        <v>152</v>
      </c>
    </row>
    <row r="4" spans="1:42" ht="9.75" customHeight="1">
      <c r="A4" s="155"/>
      <c r="B4" s="174" t="s">
        <v>174</v>
      </c>
      <c r="C4" s="177"/>
      <c r="D4" s="135"/>
      <c r="E4" s="152"/>
      <c r="F4" s="153"/>
      <c r="G4" s="154"/>
      <c r="H4" s="155"/>
      <c r="I4" s="153"/>
      <c r="J4" s="154"/>
      <c r="K4" s="178"/>
      <c r="L4" s="167"/>
      <c r="M4" s="155"/>
      <c r="N4" s="155"/>
      <c r="O4" s="155"/>
      <c r="P4" s="155"/>
      <c r="Q4" s="155"/>
      <c r="R4" s="155"/>
      <c r="S4" s="155"/>
      <c r="T4" s="155"/>
      <c r="U4" s="152"/>
      <c r="V4" s="155"/>
      <c r="W4" s="155"/>
      <c r="X4" s="155"/>
      <c r="Y4" s="155"/>
      <c r="Z4" s="155"/>
      <c r="AA4" s="155"/>
      <c r="AB4" s="155"/>
      <c r="AC4" s="155"/>
      <c r="AD4" s="152"/>
      <c r="AE4" s="154"/>
      <c r="AF4" s="152"/>
      <c r="AG4" s="181"/>
      <c r="AH4" s="157"/>
      <c r="AI4" s="154"/>
      <c r="AJ4" s="158"/>
      <c r="AK4" s="167"/>
      <c r="AL4" s="160" t="s">
        <v>174</v>
      </c>
      <c r="AM4" s="160" t="s">
        <v>174</v>
      </c>
      <c r="AN4" s="160" t="s">
        <v>174</v>
      </c>
      <c r="AO4" s="160" t="s">
        <v>174</v>
      </c>
      <c r="AP4" s="175"/>
    </row>
    <row r="5" spans="1:42" s="53" customFormat="1" ht="20.25" customHeight="1">
      <c r="A5" s="123"/>
      <c r="B5" s="124" t="s">
        <v>73</v>
      </c>
      <c r="C5" s="176" t="s">
        <v>116</v>
      </c>
      <c r="D5" s="136"/>
      <c r="E5" s="161" t="s">
        <v>58</v>
      </c>
      <c r="F5" s="136" t="s">
        <v>108</v>
      </c>
      <c r="G5" s="162" t="s">
        <v>111</v>
      </c>
      <c r="H5" s="241" t="s">
        <v>70</v>
      </c>
      <c r="I5" s="136" t="s">
        <v>112</v>
      </c>
      <c r="J5" s="162" t="s">
        <v>113</v>
      </c>
      <c r="K5" s="164" t="s">
        <v>94</v>
      </c>
      <c r="L5" s="52"/>
      <c r="M5" s="241" t="s">
        <v>122</v>
      </c>
      <c r="N5" s="241" t="s">
        <v>123</v>
      </c>
      <c r="O5" s="241" t="s">
        <v>124</v>
      </c>
      <c r="P5" s="241" t="s">
        <v>125</v>
      </c>
      <c r="Q5" s="241" t="s">
        <v>126</v>
      </c>
      <c r="R5" s="241" t="s">
        <v>127</v>
      </c>
      <c r="S5" s="241" t="s">
        <v>128</v>
      </c>
      <c r="T5" s="241" t="s">
        <v>129</v>
      </c>
      <c r="U5" s="161" t="s">
        <v>61</v>
      </c>
      <c r="V5" s="241" t="s">
        <v>122</v>
      </c>
      <c r="W5" s="241" t="s">
        <v>123</v>
      </c>
      <c r="X5" s="241" t="s">
        <v>124</v>
      </c>
      <c r="Y5" s="241" t="s">
        <v>125</v>
      </c>
      <c r="Z5" s="241" t="s">
        <v>126</v>
      </c>
      <c r="AA5" s="241" t="s">
        <v>127</v>
      </c>
      <c r="AB5" s="241" t="s">
        <v>128</v>
      </c>
      <c r="AC5" s="241" t="s">
        <v>129</v>
      </c>
      <c r="AD5" s="136" t="s">
        <v>60</v>
      </c>
      <c r="AE5" s="136" t="s">
        <v>114</v>
      </c>
      <c r="AF5" s="136" t="s">
        <v>66</v>
      </c>
      <c r="AG5" s="182" t="s">
        <v>62</v>
      </c>
      <c r="AH5" s="136" t="s">
        <v>115</v>
      </c>
      <c r="AI5" s="136"/>
      <c r="AJ5" s="164" t="s">
        <v>68</v>
      </c>
      <c r="AK5" s="52"/>
      <c r="AL5" s="51">
        <f>+AO5*0.5</f>
        <v>279587901.41846746</v>
      </c>
      <c r="AM5" s="51">
        <f>+AO5*0.25</f>
        <v>139793950.70923373</v>
      </c>
      <c r="AN5" s="51">
        <f>+AO5*0.25</f>
        <v>139793950.70923373</v>
      </c>
      <c r="AO5" s="51">
        <f>+'PARTICIPACIONES 2015'!C19</f>
        <v>559175802.83693492</v>
      </c>
      <c r="AP5" s="125"/>
    </row>
    <row r="6" spans="1:42" s="61" customFormat="1" ht="21" customHeight="1" thickBot="1">
      <c r="A6" s="54"/>
      <c r="B6" s="127"/>
      <c r="C6" s="128"/>
      <c r="D6" s="137"/>
      <c r="E6" s="54"/>
      <c r="F6" s="55"/>
      <c r="G6" s="56"/>
      <c r="H6" s="55"/>
      <c r="I6" s="55"/>
      <c r="J6" s="56"/>
      <c r="K6" s="57"/>
      <c r="L6" s="55"/>
      <c r="M6" s="241"/>
      <c r="N6" s="241"/>
      <c r="O6" s="241"/>
      <c r="P6" s="241"/>
      <c r="Q6" s="241"/>
      <c r="R6" s="241"/>
      <c r="S6" s="241"/>
      <c r="T6" s="241"/>
      <c r="U6" s="54"/>
      <c r="V6" s="241"/>
      <c r="W6" s="241"/>
      <c r="X6" s="241"/>
      <c r="Y6" s="241"/>
      <c r="Z6" s="241"/>
      <c r="AA6" s="241"/>
      <c r="AB6" s="241"/>
      <c r="AC6" s="241"/>
      <c r="AD6" s="55"/>
      <c r="AE6" s="54"/>
      <c r="AF6" s="55"/>
      <c r="AG6" s="183"/>
      <c r="AH6" s="55"/>
      <c r="AI6" s="55"/>
      <c r="AJ6" s="57"/>
      <c r="AK6" s="55"/>
      <c r="AL6" s="51" t="s">
        <v>101</v>
      </c>
      <c r="AM6" s="51" t="s">
        <v>102</v>
      </c>
      <c r="AN6" s="51" t="s">
        <v>103</v>
      </c>
      <c r="AO6" s="60" t="s">
        <v>177</v>
      </c>
      <c r="AP6" s="129" t="s">
        <v>97</v>
      </c>
    </row>
    <row r="7" spans="1:42" ht="15" thickTop="1">
      <c r="A7" s="5" t="s">
        <v>1</v>
      </c>
      <c r="B7" s="138">
        <v>323030</v>
      </c>
      <c r="C7" s="229">
        <f t="shared" ref="C7:C38" si="0">(B7/B$58)</f>
        <v>1.924442215714968E-4</v>
      </c>
      <c r="D7" s="139"/>
      <c r="E7" s="263">
        <v>2791</v>
      </c>
      <c r="F7" s="168">
        <f t="shared" ref="F7:F57" si="1">+E7/$E$58</f>
        <v>5.9976903197579094E-4</v>
      </c>
      <c r="G7" s="64">
        <f>+F7*G$3</f>
        <v>5.0980367717942232E-4</v>
      </c>
      <c r="H7" s="65">
        <v>47.45</v>
      </c>
      <c r="I7" s="168">
        <f t="shared" ref="I7:I58" si="2">+H7/$H$58</f>
        <v>7.3886478603129777E-4</v>
      </c>
      <c r="J7" s="66">
        <f>+I7*J$3</f>
        <v>1.1082971790469465E-4</v>
      </c>
      <c r="K7" s="229">
        <f>+J7+G7</f>
        <v>6.20633395084117E-4</v>
      </c>
      <c r="M7" s="67">
        <v>334</v>
      </c>
      <c r="N7" s="68">
        <v>78</v>
      </c>
      <c r="O7" s="68">
        <v>539</v>
      </c>
      <c r="P7" s="68">
        <v>28</v>
      </c>
      <c r="Q7" s="69">
        <f>+M7/M$58*0.25</f>
        <v>1.9531661173630621E-4</v>
      </c>
      <c r="R7" s="69">
        <f t="shared" ref="R7:T22" si="3">+N7/N$58*0.25</f>
        <v>2.2168411718563488E-4</v>
      </c>
      <c r="S7" s="69">
        <f t="shared" si="3"/>
        <v>4.0332477297080497E-4</v>
      </c>
      <c r="T7" s="69">
        <f t="shared" si="3"/>
        <v>1.788314641187441E-4</v>
      </c>
      <c r="U7" s="264">
        <f>SUM(Q7:T7)</f>
        <v>9.9915696601149016E-4</v>
      </c>
      <c r="V7" s="265">
        <v>194.999999997044</v>
      </c>
      <c r="W7" s="265">
        <v>51</v>
      </c>
      <c r="X7" s="265">
        <v>69</v>
      </c>
      <c r="Y7" s="265">
        <v>52</v>
      </c>
      <c r="Z7" s="69">
        <f>+V7/V$58*0.25</f>
        <v>1.5336072329640257E-4</v>
      </c>
      <c r="AA7" s="69">
        <f t="shared" ref="AA7:AC57" si="4">+W7/W$58*0.25</f>
        <v>1.7408044564594084E-4</v>
      </c>
      <c r="AB7" s="69">
        <f t="shared" si="4"/>
        <v>1.4011176451476657E-4</v>
      </c>
      <c r="AC7" s="69">
        <f t="shared" si="4"/>
        <v>9.4710767885764239E-4</v>
      </c>
      <c r="AD7" s="63">
        <f>SUM(Z7:AC7)</f>
        <v>1.4146606123147524E-3</v>
      </c>
      <c r="AE7" s="266">
        <f>+AD7*AE$3</f>
        <v>1.2024615204675394E-3</v>
      </c>
      <c r="AF7" s="168">
        <f t="shared" ref="AF7:AF57" si="5">+(AD7-U7)/U7</f>
        <v>0.415854225549666</v>
      </c>
      <c r="AG7" s="184">
        <f t="shared" ref="AG7:AG57" si="6">IF(AF7&gt;0,0,AF7)</f>
        <v>0</v>
      </c>
      <c r="AH7" s="168">
        <f>+AG7/AG$58</f>
        <v>0</v>
      </c>
      <c r="AI7" s="64">
        <f t="shared" ref="AI7:AI38" si="7">+AH7*AI$3</f>
        <v>0</v>
      </c>
      <c r="AJ7" s="229">
        <f t="shared" ref="AJ7:AJ38" si="8">+AI7+AE7</f>
        <v>1.2024615204675394E-3</v>
      </c>
      <c r="AL7" s="76">
        <f t="shared" ref="AL7:AL38" si="9">+C7*AL$5</f>
        <v>53805.076049285359</v>
      </c>
      <c r="AM7" s="77">
        <f t="shared" ref="AM7:AM38" si="10">+K7*AM$5</f>
        <v>86760.794240893432</v>
      </c>
      <c r="AN7" s="77">
        <f>+AJ7*AN$5</f>
        <v>168096.84652198944</v>
      </c>
      <c r="AO7" s="77">
        <f t="shared" ref="AO7:AO57" si="11">SUM(AL7:AN7)</f>
        <v>308662.71681216825</v>
      </c>
      <c r="AP7" s="131">
        <f>+AO7/AO$58</f>
        <v>5.5199583967366253E-4</v>
      </c>
    </row>
    <row r="8" spans="1:42" ht="14.25">
      <c r="A8" s="7" t="s">
        <v>2</v>
      </c>
      <c r="B8" s="140">
        <v>323587</v>
      </c>
      <c r="C8" s="230">
        <f t="shared" si="0"/>
        <v>1.9277605276802755E-4</v>
      </c>
      <c r="D8" s="139"/>
      <c r="E8" s="267">
        <v>3443</v>
      </c>
      <c r="F8" s="169">
        <f t="shared" si="1"/>
        <v>7.3987989146995627E-4</v>
      </c>
      <c r="G8" s="81">
        <f t="shared" ref="G8:G57" si="12">+F8*G$3</f>
        <v>6.2889790774946284E-4</v>
      </c>
      <c r="H8" s="82">
        <v>978.99</v>
      </c>
      <c r="I8" s="169">
        <f t="shared" si="2"/>
        <v>1.524428317970032E-2</v>
      </c>
      <c r="J8" s="83">
        <f t="shared" ref="J8:J57" si="13">+I8*J$3</f>
        <v>2.2866424769550477E-3</v>
      </c>
      <c r="K8" s="230">
        <f t="shared" ref="K8:K57" si="14">+J8+G8</f>
        <v>2.9155403847045108E-3</v>
      </c>
      <c r="M8" s="84">
        <v>768</v>
      </c>
      <c r="N8" s="85">
        <v>191</v>
      </c>
      <c r="O8" s="85">
        <v>961</v>
      </c>
      <c r="P8" s="85">
        <v>102</v>
      </c>
      <c r="Q8" s="86">
        <f t="shared" ref="Q8:T57" si="15">+M8/M$58*0.25</f>
        <v>4.4911125093857236E-4</v>
      </c>
      <c r="R8" s="86">
        <f t="shared" si="3"/>
        <v>5.4284187669815717E-4</v>
      </c>
      <c r="S8" s="86">
        <f t="shared" si="3"/>
        <v>7.1910038371974692E-4</v>
      </c>
      <c r="T8" s="86">
        <f t="shared" si="3"/>
        <v>6.514574764325678E-4</v>
      </c>
      <c r="U8" s="268">
        <f t="shared" ref="U8:U57" si="16">SUM(Q8:T8)</f>
        <v>2.3625109877890441E-3</v>
      </c>
      <c r="V8" s="269">
        <v>468.99999999269994</v>
      </c>
      <c r="W8" s="269">
        <v>120</v>
      </c>
      <c r="X8" s="269">
        <v>175</v>
      </c>
      <c r="Y8" s="269">
        <v>44</v>
      </c>
      <c r="Z8" s="86">
        <f t="shared" ref="Z8:Z57" si="17">+V8/V$58*0.25</f>
        <v>3.6885220115889019E-4</v>
      </c>
      <c r="AA8" s="86">
        <f t="shared" si="4"/>
        <v>4.0960104857868437E-4</v>
      </c>
      <c r="AB8" s="86">
        <f t="shared" si="4"/>
        <v>3.5535592449397314E-4</v>
      </c>
      <c r="AC8" s="86">
        <f t="shared" si="4"/>
        <v>8.0139880518723594E-4</v>
      </c>
      <c r="AD8" s="80">
        <f t="shared" ref="AD8:AD57" si="18">SUM(Z8:AC8)</f>
        <v>1.9352079794187835E-3</v>
      </c>
      <c r="AE8" s="270">
        <f t="shared" ref="AE8:AE57" si="19">+AD8*AE$3</f>
        <v>1.644926782505966E-3</v>
      </c>
      <c r="AF8" s="169">
        <f t="shared" si="5"/>
        <v>-0.1808681570493571</v>
      </c>
      <c r="AG8" s="185">
        <f t="shared" si="6"/>
        <v>-0.1808681570493571</v>
      </c>
      <c r="AH8" s="169">
        <f t="shared" ref="AH8:AH57" si="20">+AG8/AG$58</f>
        <v>3.3703048799913031E-2</v>
      </c>
      <c r="AI8" s="81">
        <f t="shared" si="7"/>
        <v>5.0554573199869546E-3</v>
      </c>
      <c r="AJ8" s="230">
        <f t="shared" si="8"/>
        <v>6.7003841024929206E-3</v>
      </c>
      <c r="AL8" s="93">
        <f t="shared" si="9"/>
        <v>53897.852037148565</v>
      </c>
      <c r="AM8" s="94">
        <f t="shared" si="10"/>
        <v>407574.90883016272</v>
      </c>
      <c r="AN8" s="94">
        <f t="shared" ref="AN8:AN57" si="21">+AJ8*AN$5</f>
        <v>936673.16495682858</v>
      </c>
      <c r="AO8" s="94">
        <f t="shared" si="11"/>
        <v>1398145.9258241397</v>
      </c>
      <c r="AP8" s="133">
        <f t="shared" ref="AP8:AP57" si="22">+AO8/AO$58</f>
        <v>2.5003691481833711E-3</v>
      </c>
    </row>
    <row r="9" spans="1:42" ht="14.25">
      <c r="A9" s="7" t="s">
        <v>3</v>
      </c>
      <c r="B9" s="140">
        <v>15361</v>
      </c>
      <c r="C9" s="230">
        <f t="shared" si="0"/>
        <v>9.1512729082740375E-6</v>
      </c>
      <c r="D9" s="139"/>
      <c r="E9" s="267">
        <v>1374</v>
      </c>
      <c r="F9" s="169">
        <f t="shared" si="1"/>
        <v>2.9526429592788847E-4</v>
      </c>
      <c r="G9" s="81">
        <f t="shared" si="12"/>
        <v>2.509746515387052E-4</v>
      </c>
      <c r="H9" s="82">
        <v>696.75</v>
      </c>
      <c r="I9" s="169">
        <f t="shared" si="2"/>
        <v>1.0849400203736705E-2</v>
      </c>
      <c r="J9" s="83">
        <f t="shared" si="13"/>
        <v>1.6274100305605057E-3</v>
      </c>
      <c r="K9" s="230">
        <f t="shared" si="14"/>
        <v>1.8783846820992108E-3</v>
      </c>
      <c r="M9" s="84">
        <v>363</v>
      </c>
      <c r="N9" s="85">
        <v>91</v>
      </c>
      <c r="O9" s="85">
        <v>728</v>
      </c>
      <c r="P9" s="85">
        <v>81</v>
      </c>
      <c r="Q9" s="86">
        <f t="shared" si="15"/>
        <v>2.1227523970143459E-4</v>
      </c>
      <c r="R9" s="86">
        <f t="shared" si="3"/>
        <v>2.5863147004990736E-4</v>
      </c>
      <c r="S9" s="86">
        <f t="shared" si="3"/>
        <v>5.4475034271381456E-4</v>
      </c>
      <c r="T9" s="86">
        <f t="shared" si="3"/>
        <v>5.1733387834350972E-4</v>
      </c>
      <c r="U9" s="268">
        <f t="shared" si="16"/>
        <v>1.5329909308086662E-3</v>
      </c>
      <c r="V9" s="269">
        <v>209.00000000199</v>
      </c>
      <c r="W9" s="269">
        <v>60</v>
      </c>
      <c r="X9" s="269">
        <v>193</v>
      </c>
      <c r="Y9" s="269">
        <v>19</v>
      </c>
      <c r="Z9" s="86">
        <f t="shared" si="17"/>
        <v>1.6437123676789337E-4</v>
      </c>
      <c r="AA9" s="86">
        <f t="shared" si="4"/>
        <v>2.0480052428934218E-4</v>
      </c>
      <c r="AB9" s="86">
        <f t="shared" si="4"/>
        <v>3.9190681958478185E-4</v>
      </c>
      <c r="AC9" s="86">
        <f t="shared" si="4"/>
        <v>3.4605857496721549E-4</v>
      </c>
      <c r="AD9" s="80">
        <f t="shared" si="18"/>
        <v>1.107137155609233E-3</v>
      </c>
      <c r="AE9" s="270">
        <f t="shared" si="19"/>
        <v>9.4106658226784804E-4</v>
      </c>
      <c r="AF9" s="169">
        <f t="shared" si="5"/>
        <v>-0.27779275574369616</v>
      </c>
      <c r="AG9" s="185">
        <f t="shared" si="6"/>
        <v>-0.27779275574369616</v>
      </c>
      <c r="AH9" s="169">
        <f t="shared" si="20"/>
        <v>5.1764019470476444E-2</v>
      </c>
      <c r="AI9" s="81">
        <f t="shared" si="7"/>
        <v>7.7646029205714661E-3</v>
      </c>
      <c r="AJ9" s="230">
        <f t="shared" si="8"/>
        <v>8.7056695028393145E-3</v>
      </c>
      <c r="AL9" s="93">
        <f t="shared" si="9"/>
        <v>2558.5851877320138</v>
      </c>
      <c r="AM9" s="94">
        <f t="shared" si="10"/>
        <v>262586.81566235673</v>
      </c>
      <c r="AN9" s="94">
        <f t="shared" si="21"/>
        <v>1216999.9333707984</v>
      </c>
      <c r="AO9" s="94">
        <f t="shared" si="11"/>
        <v>1482145.3342208872</v>
      </c>
      <c r="AP9" s="133">
        <f t="shared" si="22"/>
        <v>2.6505891826887683E-3</v>
      </c>
    </row>
    <row r="10" spans="1:42" ht="13.5" customHeight="1">
      <c r="A10" s="7" t="s">
        <v>4</v>
      </c>
      <c r="B10" s="140">
        <v>12872464.319999998</v>
      </c>
      <c r="C10" s="230">
        <f t="shared" si="0"/>
        <v>7.6687347174233559E-3</v>
      </c>
      <c r="D10" s="139"/>
      <c r="E10" s="267">
        <v>32593</v>
      </c>
      <c r="F10" s="169">
        <f t="shared" si="1"/>
        <v>7.0040387170143149E-3</v>
      </c>
      <c r="G10" s="81">
        <f t="shared" si="12"/>
        <v>5.9534329094621677E-3</v>
      </c>
      <c r="H10" s="82">
        <v>190.52</v>
      </c>
      <c r="I10" s="169">
        <f t="shared" si="2"/>
        <v>2.9666705802883636E-3</v>
      </c>
      <c r="J10" s="83">
        <f t="shared" si="13"/>
        <v>4.4500058704325453E-4</v>
      </c>
      <c r="K10" s="230">
        <f t="shared" si="14"/>
        <v>6.3984334965054221E-3</v>
      </c>
      <c r="M10" s="84">
        <v>3420</v>
      </c>
      <c r="N10" s="85">
        <v>773</v>
      </c>
      <c r="O10" s="85">
        <v>6993</v>
      </c>
      <c r="P10" s="85">
        <v>216</v>
      </c>
      <c r="Q10" s="86">
        <f t="shared" si="15"/>
        <v>1.99994853933583E-3</v>
      </c>
      <c r="R10" s="86">
        <f t="shared" si="3"/>
        <v>2.196946443390971E-3</v>
      </c>
      <c r="S10" s="86">
        <f t="shared" si="3"/>
        <v>5.2327460804913531E-3</v>
      </c>
      <c r="T10" s="86">
        <f t="shared" si="3"/>
        <v>1.3795570089160259E-3</v>
      </c>
      <c r="U10" s="268">
        <f t="shared" si="16"/>
        <v>1.080919807213418E-2</v>
      </c>
      <c r="V10" s="269">
        <v>2055.0000000045479</v>
      </c>
      <c r="W10" s="269">
        <v>629</v>
      </c>
      <c r="X10" s="269">
        <v>1238</v>
      </c>
      <c r="Y10" s="269">
        <v>59</v>
      </c>
      <c r="Z10" s="86">
        <f t="shared" si="17"/>
        <v>1.6161860839978574E-3</v>
      </c>
      <c r="AA10" s="86">
        <f t="shared" si="4"/>
        <v>2.1469921629666037E-3</v>
      </c>
      <c r="AB10" s="86">
        <f t="shared" si="4"/>
        <v>2.5138893401345074E-3</v>
      </c>
      <c r="AC10" s="86">
        <f t="shared" si="4"/>
        <v>1.074602943319248E-3</v>
      </c>
      <c r="AD10" s="80">
        <f t="shared" si="18"/>
        <v>7.3516705304182165E-3</v>
      </c>
      <c r="AE10" s="270">
        <f t="shared" si="19"/>
        <v>6.2489199508554841E-3</v>
      </c>
      <c r="AF10" s="169">
        <f t="shared" si="5"/>
        <v>-0.31986901513345156</v>
      </c>
      <c r="AG10" s="185">
        <f t="shared" si="6"/>
        <v>-0.31986901513345156</v>
      </c>
      <c r="AH10" s="169">
        <f t="shared" si="20"/>
        <v>5.9604527422043294E-2</v>
      </c>
      <c r="AI10" s="81">
        <f t="shared" si="7"/>
        <v>8.9406791133064944E-3</v>
      </c>
      <c r="AJ10" s="230">
        <f t="shared" si="8"/>
        <v>1.5189599064161979E-2</v>
      </c>
      <c r="AL10" s="93">
        <f t="shared" si="9"/>
        <v>2144085.4461793401</v>
      </c>
      <c r="AM10" s="94">
        <f t="shared" si="10"/>
        <v>894462.29682678904</v>
      </c>
      <c r="AN10" s="94">
        <f t="shared" si="21"/>
        <v>2123414.0628684824</v>
      </c>
      <c r="AO10" s="94">
        <f t="shared" si="11"/>
        <v>5161961.8058746122</v>
      </c>
      <c r="AP10" s="133">
        <f t="shared" si="22"/>
        <v>9.2313754988785288E-3</v>
      </c>
    </row>
    <row r="11" spans="1:42" ht="14.25">
      <c r="A11" s="7" t="s">
        <v>5</v>
      </c>
      <c r="B11" s="140">
        <v>1166042</v>
      </c>
      <c r="C11" s="230">
        <f t="shared" si="0"/>
        <v>6.9466626941668355E-4</v>
      </c>
      <c r="D11" s="139"/>
      <c r="E11" s="267">
        <v>18480</v>
      </c>
      <c r="F11" s="169">
        <f t="shared" si="1"/>
        <v>3.9712403120432159E-3</v>
      </c>
      <c r="G11" s="81">
        <f t="shared" si="12"/>
        <v>3.3755542652367334E-3</v>
      </c>
      <c r="H11" s="82">
        <v>4572.87</v>
      </c>
      <c r="I11" s="169">
        <f t="shared" si="2"/>
        <v>7.1206166788175776E-2</v>
      </c>
      <c r="J11" s="83">
        <f t="shared" si="13"/>
        <v>1.0680925018226366E-2</v>
      </c>
      <c r="K11" s="230">
        <f t="shared" si="14"/>
        <v>1.4056479283463099E-2</v>
      </c>
      <c r="M11" s="84">
        <v>3207</v>
      </c>
      <c r="N11" s="85">
        <v>706</v>
      </c>
      <c r="O11" s="85">
        <v>5696</v>
      </c>
      <c r="P11" s="85">
        <v>1464</v>
      </c>
      <c r="Q11" s="86">
        <f t="shared" si="15"/>
        <v>1.8753903408333353E-3</v>
      </c>
      <c r="R11" s="86">
        <f t="shared" si="3"/>
        <v>2.0065254709366437E-3</v>
      </c>
      <c r="S11" s="86">
        <f t="shared" si="3"/>
        <v>4.2622224616729225E-3</v>
      </c>
      <c r="T11" s="86">
        <f t="shared" si="3"/>
        <v>9.3503308382086193E-3</v>
      </c>
      <c r="U11" s="268">
        <f t="shared" si="16"/>
        <v>1.749446911165152E-2</v>
      </c>
      <c r="V11" s="269">
        <v>2802.0000000077798</v>
      </c>
      <c r="W11" s="269">
        <v>510</v>
      </c>
      <c r="X11" s="269">
        <v>1865</v>
      </c>
      <c r="Y11" s="269">
        <v>534</v>
      </c>
      <c r="Z11" s="86">
        <f t="shared" si="17"/>
        <v>2.2036756240216781E-3</v>
      </c>
      <c r="AA11" s="86">
        <f t="shared" si="4"/>
        <v>1.7408044564594086E-3</v>
      </c>
      <c r="AB11" s="86">
        <f t="shared" si="4"/>
        <v>3.7870788524643428E-3</v>
      </c>
      <c r="AC11" s="86">
        <f t="shared" si="4"/>
        <v>9.7260673174996357E-3</v>
      </c>
      <c r="AD11" s="80">
        <f t="shared" si="18"/>
        <v>1.7457626250445064E-2</v>
      </c>
      <c r="AE11" s="270">
        <f t="shared" si="19"/>
        <v>1.4838982312878304E-2</v>
      </c>
      <c r="AF11" s="169">
        <f t="shared" si="5"/>
        <v>-2.1059719486953626E-3</v>
      </c>
      <c r="AG11" s="185">
        <f t="shared" si="6"/>
        <v>-2.1059719486953626E-3</v>
      </c>
      <c r="AH11" s="169">
        <f t="shared" si="20"/>
        <v>3.9242770267603632E-4</v>
      </c>
      <c r="AI11" s="81">
        <f t="shared" si="7"/>
        <v>5.8864155401405446E-5</v>
      </c>
      <c r="AJ11" s="230">
        <f t="shared" si="8"/>
        <v>1.4897846468279709E-2</v>
      </c>
      <c r="AL11" s="93">
        <f t="shared" si="9"/>
        <v>194220.28445240628</v>
      </c>
      <c r="AM11" s="94">
        <f t="shared" si="10"/>
        <v>1965010.7720978055</v>
      </c>
      <c r="AN11" s="94">
        <f t="shared" si="21"/>
        <v>2082628.8148604254</v>
      </c>
      <c r="AO11" s="94">
        <f t="shared" si="11"/>
        <v>4241859.8714106372</v>
      </c>
      <c r="AP11" s="133">
        <f t="shared" si="22"/>
        <v>7.5859145726440433E-3</v>
      </c>
    </row>
    <row r="12" spans="1:42" ht="14.25">
      <c r="A12" s="7" t="s">
        <v>6</v>
      </c>
      <c r="B12" s="140">
        <v>93621167.070000008</v>
      </c>
      <c r="C12" s="230">
        <f t="shared" si="0"/>
        <v>5.5774549173145532E-2</v>
      </c>
      <c r="D12" s="139"/>
      <c r="E12" s="267">
        <v>523370</v>
      </c>
      <c r="F12" s="169">
        <f t="shared" si="1"/>
        <v>0.11246904989794686</v>
      </c>
      <c r="G12" s="81">
        <f t="shared" si="12"/>
        <v>9.5598692413254832E-2</v>
      </c>
      <c r="H12" s="82">
        <v>238.03</v>
      </c>
      <c r="I12" s="169">
        <f t="shared" si="2"/>
        <v>3.7064696526665922E-3</v>
      </c>
      <c r="J12" s="83">
        <f t="shared" si="13"/>
        <v>5.5597044789998883E-4</v>
      </c>
      <c r="K12" s="230">
        <f t="shared" si="14"/>
        <v>9.6154662861154816E-2</v>
      </c>
      <c r="M12" s="84">
        <v>27572</v>
      </c>
      <c r="N12" s="85">
        <v>4134</v>
      </c>
      <c r="O12" s="85">
        <v>4960</v>
      </c>
      <c r="P12" s="85">
        <v>1244</v>
      </c>
      <c r="Q12" s="86">
        <f t="shared" si="15"/>
        <v>1.6123561732914474E-2</v>
      </c>
      <c r="R12" s="86">
        <f t="shared" si="3"/>
        <v>1.1749258210838649E-2</v>
      </c>
      <c r="S12" s="86">
        <f t="shared" si="3"/>
        <v>3.711485851456758E-3</v>
      </c>
      <c r="T12" s="86">
        <f t="shared" si="3"/>
        <v>7.9452264772756302E-3</v>
      </c>
      <c r="U12" s="268">
        <f t="shared" si="16"/>
        <v>3.9529532272485512E-2</v>
      </c>
      <c r="V12" s="269">
        <v>34239.000000084088</v>
      </c>
      <c r="W12" s="269">
        <v>3826</v>
      </c>
      <c r="X12" s="269">
        <v>1071</v>
      </c>
      <c r="Y12" s="269">
        <v>267</v>
      </c>
      <c r="Z12" s="86">
        <f t="shared" si="17"/>
        <v>2.6927783615579601E-2</v>
      </c>
      <c r="AA12" s="86">
        <f t="shared" si="4"/>
        <v>1.3059446765517053E-2</v>
      </c>
      <c r="AB12" s="86">
        <f t="shared" si="4"/>
        <v>2.1747782579031156E-3</v>
      </c>
      <c r="AC12" s="86">
        <f t="shared" si="4"/>
        <v>4.8630336587498178E-3</v>
      </c>
      <c r="AD12" s="80">
        <f t="shared" si="18"/>
        <v>4.7025042297749592E-2</v>
      </c>
      <c r="AE12" s="270">
        <f t="shared" si="19"/>
        <v>3.9971285953087153E-2</v>
      </c>
      <c r="AF12" s="169">
        <f t="shared" si="5"/>
        <v>0.18961797912497236</v>
      </c>
      <c r="AG12" s="185">
        <f t="shared" si="6"/>
        <v>0</v>
      </c>
      <c r="AH12" s="169">
        <f t="shared" si="20"/>
        <v>0</v>
      </c>
      <c r="AI12" s="81">
        <f t="shared" si="7"/>
        <v>0</v>
      </c>
      <c r="AJ12" s="230">
        <f t="shared" si="8"/>
        <v>3.9971285953087153E-2</v>
      </c>
      <c r="AL12" s="93">
        <f t="shared" si="9"/>
        <v>15593889.15588088</v>
      </c>
      <c r="AM12" s="94">
        <f t="shared" si="10"/>
        <v>13441840.200475264</v>
      </c>
      <c r="AN12" s="94">
        <f t="shared" si="21"/>
        <v>5587743.9783105524</v>
      </c>
      <c r="AO12" s="94">
        <f t="shared" si="11"/>
        <v>34623473.334666699</v>
      </c>
      <c r="AP12" s="133">
        <f t="shared" si="22"/>
        <v>6.1918761790133267E-2</v>
      </c>
    </row>
    <row r="13" spans="1:42" ht="14.25">
      <c r="A13" s="7" t="s">
        <v>7</v>
      </c>
      <c r="B13" s="140">
        <v>632280.85</v>
      </c>
      <c r="C13" s="230">
        <f t="shared" si="0"/>
        <v>3.7667955296045053E-4</v>
      </c>
      <c r="D13" s="139"/>
      <c r="E13" s="267">
        <v>15470</v>
      </c>
      <c r="F13" s="169">
        <f t="shared" si="1"/>
        <v>3.3244095036422377E-3</v>
      </c>
      <c r="G13" s="81">
        <f t="shared" si="12"/>
        <v>2.825748078095902E-3</v>
      </c>
      <c r="H13" s="82">
        <v>2664.8</v>
      </c>
      <c r="I13" s="169">
        <f t="shared" si="2"/>
        <v>4.149477095503061E-2</v>
      </c>
      <c r="J13" s="83">
        <f t="shared" si="13"/>
        <v>6.224215643254591E-3</v>
      </c>
      <c r="K13" s="230">
        <f t="shared" si="14"/>
        <v>9.0499637213504926E-3</v>
      </c>
      <c r="M13" s="84">
        <v>3888</v>
      </c>
      <c r="N13" s="85">
        <v>1372</v>
      </c>
      <c r="O13" s="85">
        <v>11340</v>
      </c>
      <c r="P13" s="85">
        <v>3122</v>
      </c>
      <c r="Q13" s="86">
        <f t="shared" si="15"/>
        <v>2.2736257078765226E-3</v>
      </c>
      <c r="R13" s="86">
        <f t="shared" si="3"/>
        <v>3.8993667792139876E-3</v>
      </c>
      <c r="S13" s="86">
        <f t="shared" si="3"/>
        <v>8.4855341845805725E-3</v>
      </c>
      <c r="T13" s="86">
        <f t="shared" si="3"/>
        <v>1.9939708249239966E-2</v>
      </c>
      <c r="U13" s="268">
        <f t="shared" si="16"/>
        <v>3.4598234920911047E-2</v>
      </c>
      <c r="V13" s="269">
        <v>3560.0000000065597</v>
      </c>
      <c r="W13" s="269">
        <v>1140</v>
      </c>
      <c r="X13" s="269">
        <v>7405</v>
      </c>
      <c r="Y13" s="269">
        <v>920</v>
      </c>
      <c r="Z13" s="86">
        <f t="shared" si="17"/>
        <v>2.7998162817665408E-3</v>
      </c>
      <c r="AA13" s="86">
        <f t="shared" si="4"/>
        <v>3.8912099614975015E-3</v>
      </c>
      <c r="AB13" s="86">
        <f t="shared" si="4"/>
        <v>1.5036632119302121E-2</v>
      </c>
      <c r="AC13" s="86">
        <f t="shared" si="4"/>
        <v>1.6756520472096751E-2</v>
      </c>
      <c r="AD13" s="80">
        <f t="shared" si="18"/>
        <v>3.8484178834662916E-2</v>
      </c>
      <c r="AE13" s="270">
        <f t="shared" si="19"/>
        <v>3.2711552009463477E-2</v>
      </c>
      <c r="AF13" s="169">
        <f t="shared" si="5"/>
        <v>0.11231624742229894</v>
      </c>
      <c r="AG13" s="185">
        <f t="shared" si="6"/>
        <v>0</v>
      </c>
      <c r="AH13" s="169">
        <f t="shared" si="20"/>
        <v>0</v>
      </c>
      <c r="AI13" s="81">
        <f t="shared" si="7"/>
        <v>0</v>
      </c>
      <c r="AJ13" s="230">
        <f t="shared" si="8"/>
        <v>3.2711552009463477E-2</v>
      </c>
      <c r="AL13" s="93">
        <f t="shared" si="9"/>
        <v>105315.04571945884</v>
      </c>
      <c r="AM13" s="94">
        <f t="shared" si="10"/>
        <v>1265130.1823828241</v>
      </c>
      <c r="AN13" s="94">
        <f t="shared" si="21"/>
        <v>4572877.0892334729</v>
      </c>
      <c r="AO13" s="94">
        <f t="shared" si="11"/>
        <v>5943322.3173357565</v>
      </c>
      <c r="AP13" s="133">
        <f t="shared" si="22"/>
        <v>1.0628718709183719E-2</v>
      </c>
    </row>
    <row r="14" spans="1:42" ht="14.25">
      <c r="A14" s="7" t="s">
        <v>8</v>
      </c>
      <c r="B14" s="140">
        <v>92586</v>
      </c>
      <c r="C14" s="230">
        <f t="shared" si="0"/>
        <v>5.5157851278267042E-5</v>
      </c>
      <c r="D14" s="139"/>
      <c r="E14" s="267">
        <v>3773</v>
      </c>
      <c r="F14" s="169">
        <f t="shared" si="1"/>
        <v>8.1079489704215658E-4</v>
      </c>
      <c r="G14" s="81">
        <f t="shared" si="12"/>
        <v>6.8917566248583311E-4</v>
      </c>
      <c r="H14" s="82">
        <v>465.62</v>
      </c>
      <c r="I14" s="169">
        <f t="shared" si="2"/>
        <v>7.2503734809671837E-3</v>
      </c>
      <c r="J14" s="83">
        <f t="shared" si="13"/>
        <v>1.0875560221450776E-3</v>
      </c>
      <c r="K14" s="230">
        <f t="shared" si="14"/>
        <v>1.7767316846309107E-3</v>
      </c>
      <c r="M14" s="84">
        <v>739</v>
      </c>
      <c r="N14" s="85">
        <v>153</v>
      </c>
      <c r="O14" s="85">
        <v>789</v>
      </c>
      <c r="P14" s="85">
        <v>57</v>
      </c>
      <c r="Q14" s="86">
        <f t="shared" si="15"/>
        <v>4.3215262297344398E-4</v>
      </c>
      <c r="R14" s="86">
        <f t="shared" si="3"/>
        <v>4.3484192217182224E-4</v>
      </c>
      <c r="S14" s="86">
        <f t="shared" si="3"/>
        <v>5.9039563241923033E-4</v>
      </c>
      <c r="T14" s="86">
        <f t="shared" si="3"/>
        <v>3.6404976624172905E-4</v>
      </c>
      <c r="U14" s="268">
        <f t="shared" si="16"/>
        <v>1.8214399438062257E-3</v>
      </c>
      <c r="V14" s="269">
        <v>518.99999999744</v>
      </c>
      <c r="W14" s="269">
        <v>104</v>
      </c>
      <c r="X14" s="269">
        <v>89</v>
      </c>
      <c r="Y14" s="269">
        <v>41</v>
      </c>
      <c r="Z14" s="86">
        <f t="shared" si="17"/>
        <v>4.0817546354690717E-4</v>
      </c>
      <c r="AA14" s="86">
        <f t="shared" si="4"/>
        <v>3.5498757543485978E-4</v>
      </c>
      <c r="AB14" s="86">
        <f t="shared" si="4"/>
        <v>1.8072387017122063E-4</v>
      </c>
      <c r="AC14" s="86">
        <f t="shared" si="4"/>
        <v>7.4675797756083341E-4</v>
      </c>
      <c r="AD14" s="80">
        <f t="shared" si="18"/>
        <v>1.6906448867138209E-3</v>
      </c>
      <c r="AE14" s="270">
        <f t="shared" si="19"/>
        <v>1.4370481537067476E-3</v>
      </c>
      <c r="AF14" s="169">
        <f t="shared" si="5"/>
        <v>-7.1808602604313709E-2</v>
      </c>
      <c r="AG14" s="185">
        <f t="shared" si="6"/>
        <v>-7.1808602604313709E-2</v>
      </c>
      <c r="AH14" s="169">
        <f t="shared" si="20"/>
        <v>1.3380845347842557E-2</v>
      </c>
      <c r="AI14" s="81">
        <f t="shared" si="7"/>
        <v>2.0071268021763836E-3</v>
      </c>
      <c r="AJ14" s="230">
        <f t="shared" si="8"/>
        <v>3.4441749558831313E-3</v>
      </c>
      <c r="AL14" s="93">
        <f t="shared" si="9"/>
        <v>15421.467885642614</v>
      </c>
      <c r="AM14" s="94">
        <f t="shared" si="10"/>
        <v>248376.34154482733</v>
      </c>
      <c r="AN14" s="94">
        <f t="shared" si="21"/>
        <v>481474.8240167037</v>
      </c>
      <c r="AO14" s="94">
        <f t="shared" si="11"/>
        <v>745272.63344717363</v>
      </c>
      <c r="AP14" s="133">
        <f t="shared" si="22"/>
        <v>1.3328055857676439E-3</v>
      </c>
    </row>
    <row r="15" spans="1:42" ht="14.25">
      <c r="A15" s="7" t="s">
        <v>9</v>
      </c>
      <c r="B15" s="140">
        <v>19767687.84</v>
      </c>
      <c r="C15" s="230">
        <f t="shared" si="0"/>
        <v>1.1776544898731211E-2</v>
      </c>
      <c r="D15" s="139"/>
      <c r="E15" s="267">
        <v>86445</v>
      </c>
      <c r="F15" s="169">
        <f t="shared" si="1"/>
        <v>1.8576508050572284E-2</v>
      </c>
      <c r="G15" s="81">
        <f t="shared" si="12"/>
        <v>1.5790031842986441E-2</v>
      </c>
      <c r="H15" s="82">
        <v>1140.97</v>
      </c>
      <c r="I15" s="169">
        <f t="shared" si="2"/>
        <v>1.7766544887631817E-2</v>
      </c>
      <c r="J15" s="83">
        <f t="shared" si="13"/>
        <v>2.6649817331447726E-3</v>
      </c>
      <c r="K15" s="230">
        <f t="shared" si="14"/>
        <v>1.8455013576131211E-2</v>
      </c>
      <c r="M15" s="84">
        <v>6662</v>
      </c>
      <c r="N15" s="85">
        <v>2055</v>
      </c>
      <c r="O15" s="85">
        <v>14558</v>
      </c>
      <c r="P15" s="85">
        <v>683</v>
      </c>
      <c r="Q15" s="86">
        <f t="shared" si="15"/>
        <v>3.895806189782251E-3</v>
      </c>
      <c r="R15" s="86">
        <f t="shared" si="3"/>
        <v>5.8405238566215344E-3</v>
      </c>
      <c r="S15" s="86">
        <f t="shared" si="3"/>
        <v>1.0893510287400703E-2</v>
      </c>
      <c r="T15" s="86">
        <f t="shared" si="3"/>
        <v>4.3622103568965081E-3</v>
      </c>
      <c r="U15" s="268">
        <f t="shared" si="16"/>
        <v>2.4992050690700995E-2</v>
      </c>
      <c r="V15" s="269">
        <v>5056.9999999440479</v>
      </c>
      <c r="W15" s="269">
        <v>1587</v>
      </c>
      <c r="X15" s="269">
        <v>3489</v>
      </c>
      <c r="Y15" s="269">
        <v>461</v>
      </c>
      <c r="Z15" s="86">
        <f t="shared" si="17"/>
        <v>3.9771547575029919E-3</v>
      </c>
      <c r="AA15" s="86">
        <f t="shared" si="4"/>
        <v>5.4169738674531009E-3</v>
      </c>
      <c r="AB15" s="86">
        <f t="shared" si="4"/>
        <v>7.0847818317684138E-3</v>
      </c>
      <c r="AC15" s="86">
        <f t="shared" si="4"/>
        <v>8.3964738452571765E-3</v>
      </c>
      <c r="AD15" s="80">
        <f t="shared" si="18"/>
        <v>2.4875384301981683E-2</v>
      </c>
      <c r="AE15" s="270">
        <f t="shared" si="19"/>
        <v>2.114407665668443E-2</v>
      </c>
      <c r="AF15" s="169">
        <f t="shared" si="5"/>
        <v>-4.6681398882853836E-3</v>
      </c>
      <c r="AG15" s="185">
        <f t="shared" si="6"/>
        <v>-4.6681398882853836E-3</v>
      </c>
      <c r="AH15" s="169">
        <f t="shared" si="20"/>
        <v>8.6986315903450563E-4</v>
      </c>
      <c r="AI15" s="81">
        <f t="shared" si="7"/>
        <v>1.3047947385517585E-4</v>
      </c>
      <c r="AJ15" s="230">
        <f t="shared" si="8"/>
        <v>2.1274556130539607E-2</v>
      </c>
      <c r="AL15" s="93">
        <f t="shared" si="9"/>
        <v>3292579.4741966175</v>
      </c>
      <c r="AM15" s="94">
        <f t="shared" si="10"/>
        <v>2579899.258199926</v>
      </c>
      <c r="AN15" s="94">
        <f t="shared" si="21"/>
        <v>2974054.2510734801</v>
      </c>
      <c r="AO15" s="94">
        <f t="shared" si="11"/>
        <v>8846532.9834700227</v>
      </c>
      <c r="AP15" s="133">
        <f t="shared" si="22"/>
        <v>1.5820664876033307E-2</v>
      </c>
    </row>
    <row r="16" spans="1:42" ht="14.25">
      <c r="A16" s="7" t="s">
        <v>10</v>
      </c>
      <c r="B16" s="140">
        <v>1733565</v>
      </c>
      <c r="C16" s="230">
        <f t="shared" si="0"/>
        <v>1.0327665138488433E-3</v>
      </c>
      <c r="D16" s="139"/>
      <c r="E16" s="267">
        <v>16092</v>
      </c>
      <c r="F16" s="169">
        <f t="shared" si="1"/>
        <v>3.4580735444480213E-3</v>
      </c>
      <c r="G16" s="81">
        <f t="shared" si="12"/>
        <v>2.9393625127808179E-3</v>
      </c>
      <c r="H16" s="82">
        <v>102.38</v>
      </c>
      <c r="I16" s="169">
        <f t="shared" si="2"/>
        <v>1.5942039366466652E-3</v>
      </c>
      <c r="J16" s="83">
        <f t="shared" si="13"/>
        <v>2.3913059049699976E-4</v>
      </c>
      <c r="K16" s="230">
        <f t="shared" si="14"/>
        <v>3.1784931032778178E-3</v>
      </c>
      <c r="M16" s="84">
        <v>981</v>
      </c>
      <c r="N16" s="85">
        <v>219</v>
      </c>
      <c r="O16" s="85">
        <v>1075</v>
      </c>
      <c r="P16" s="85">
        <v>108</v>
      </c>
      <c r="Q16" s="86">
        <f t="shared" si="15"/>
        <v>5.73669449441067E-4</v>
      </c>
      <c r="R16" s="86">
        <f t="shared" si="3"/>
        <v>6.2242079055966715E-4</v>
      </c>
      <c r="S16" s="86">
        <f t="shared" si="3"/>
        <v>8.0440469562822884E-4</v>
      </c>
      <c r="T16" s="86">
        <f t="shared" si="3"/>
        <v>6.8977850445801295E-4</v>
      </c>
      <c r="U16" s="268">
        <f t="shared" si="16"/>
        <v>2.6902734400869759E-3</v>
      </c>
      <c r="V16" s="269">
        <v>716.99999998365001</v>
      </c>
      <c r="W16" s="269">
        <v>253</v>
      </c>
      <c r="X16" s="269">
        <v>273</v>
      </c>
      <c r="Y16" s="269">
        <v>153</v>
      </c>
      <c r="Z16" s="86">
        <f t="shared" si="17"/>
        <v>5.6389558257784655E-4</v>
      </c>
      <c r="AA16" s="86">
        <f t="shared" si="4"/>
        <v>8.6357554408672619E-4</v>
      </c>
      <c r="AB16" s="86">
        <f t="shared" si="4"/>
        <v>5.5435524221059812E-4</v>
      </c>
      <c r="AC16" s="86">
        <f t="shared" si="4"/>
        <v>2.786682208946525E-3</v>
      </c>
      <c r="AD16" s="80">
        <f t="shared" si="18"/>
        <v>4.7685085778216962E-3</v>
      </c>
      <c r="AE16" s="270">
        <f t="shared" si="19"/>
        <v>4.0532322911484417E-3</v>
      </c>
      <c r="AF16" s="169">
        <f t="shared" si="5"/>
        <v>0.77249959307762084</v>
      </c>
      <c r="AG16" s="185">
        <f t="shared" si="6"/>
        <v>0</v>
      </c>
      <c r="AH16" s="169">
        <f t="shared" si="20"/>
        <v>0</v>
      </c>
      <c r="AI16" s="81">
        <f t="shared" si="7"/>
        <v>0</v>
      </c>
      <c r="AJ16" s="230">
        <f t="shared" si="8"/>
        <v>4.0532322911484417E-3</v>
      </c>
      <c r="AL16" s="93">
        <f t="shared" si="9"/>
        <v>288749.02226226474</v>
      </c>
      <c r="AM16" s="94">
        <f t="shared" si="10"/>
        <v>444334.10820925864</v>
      </c>
      <c r="AN16" s="94">
        <f t="shared" si="21"/>
        <v>566617.35512187972</v>
      </c>
      <c r="AO16" s="94">
        <f t="shared" si="11"/>
        <v>1299700.4855934032</v>
      </c>
      <c r="AP16" s="133">
        <f t="shared" si="22"/>
        <v>2.324314605530987E-3</v>
      </c>
    </row>
    <row r="17" spans="1:42" ht="14.25">
      <c r="A17" s="7" t="s">
        <v>11</v>
      </c>
      <c r="B17" s="140">
        <v>1228868.97</v>
      </c>
      <c r="C17" s="230">
        <f t="shared" si="0"/>
        <v>7.3209526157018564E-4</v>
      </c>
      <c r="D17" s="139"/>
      <c r="E17" s="267">
        <v>7855</v>
      </c>
      <c r="F17" s="169">
        <f t="shared" si="1"/>
        <v>1.6879920265746463E-3</v>
      </c>
      <c r="G17" s="81">
        <f t="shared" si="12"/>
        <v>1.4347932225884494E-3</v>
      </c>
      <c r="H17" s="82">
        <v>1006.89</v>
      </c>
      <c r="I17" s="169">
        <f t="shared" si="2"/>
        <v>1.5678726331023254E-2</v>
      </c>
      <c r="J17" s="83">
        <f t="shared" si="13"/>
        <v>2.3518089496534882E-3</v>
      </c>
      <c r="K17" s="230">
        <f t="shared" si="14"/>
        <v>3.7866021722419377E-3</v>
      </c>
      <c r="M17" s="84">
        <v>1343</v>
      </c>
      <c r="N17" s="85">
        <v>344</v>
      </c>
      <c r="O17" s="85">
        <v>1532</v>
      </c>
      <c r="P17" s="85">
        <v>359</v>
      </c>
      <c r="Q17" s="86">
        <f t="shared" si="15"/>
        <v>7.85359908867842E-4</v>
      </c>
      <c r="R17" s="86">
        <f t="shared" si="3"/>
        <v>9.7768379886997952E-4</v>
      </c>
      <c r="S17" s="86">
        <f t="shared" si="3"/>
        <v>1.1463702266999503E-3</v>
      </c>
      <c r="T17" s="86">
        <f t="shared" si="3"/>
        <v>2.2928748435224688E-3</v>
      </c>
      <c r="U17" s="268">
        <f t="shared" si="16"/>
        <v>5.2022887779602407E-3</v>
      </c>
      <c r="V17" s="269">
        <v>655.00000000354908</v>
      </c>
      <c r="W17" s="269">
        <v>319</v>
      </c>
      <c r="X17" s="269">
        <v>345</v>
      </c>
      <c r="Y17" s="269">
        <v>110</v>
      </c>
      <c r="Z17" s="86">
        <f t="shared" si="17"/>
        <v>5.1513473723697805E-4</v>
      </c>
      <c r="AA17" s="86">
        <f t="shared" si="4"/>
        <v>1.0888561208050025E-3</v>
      </c>
      <c r="AB17" s="86">
        <f t="shared" si="4"/>
        <v>7.0055882257383283E-4</v>
      </c>
      <c r="AC17" s="86">
        <f t="shared" si="4"/>
        <v>2.0034970129680896E-3</v>
      </c>
      <c r="AD17" s="80">
        <f t="shared" si="18"/>
        <v>4.3080466935839033E-3</v>
      </c>
      <c r="AE17" s="270">
        <f t="shared" si="19"/>
        <v>3.6618396895463177E-3</v>
      </c>
      <c r="AF17" s="169">
        <f t="shared" si="5"/>
        <v>-0.17189397254624528</v>
      </c>
      <c r="AG17" s="185">
        <f t="shared" si="6"/>
        <v>-0.17189397254624528</v>
      </c>
      <c r="AH17" s="169">
        <f t="shared" si="20"/>
        <v>3.2030795468082691E-2</v>
      </c>
      <c r="AI17" s="81">
        <f t="shared" si="7"/>
        <v>4.8046193202124039E-3</v>
      </c>
      <c r="AJ17" s="230">
        <f t="shared" si="8"/>
        <v>8.4664590097587207E-3</v>
      </c>
      <c r="AL17" s="93">
        <f t="shared" si="9"/>
        <v>204684.9778208122</v>
      </c>
      <c r="AM17" s="94">
        <f t="shared" si="10"/>
        <v>529344.07742186682</v>
      </c>
      <c r="AN17" s="94">
        <f t="shared" si="21"/>
        <v>1183559.7534919584</v>
      </c>
      <c r="AO17" s="94">
        <f t="shared" si="11"/>
        <v>1917588.8087346375</v>
      </c>
      <c r="AP17" s="133">
        <f t="shared" si="22"/>
        <v>3.4293129262852576E-3</v>
      </c>
    </row>
    <row r="18" spans="1:42" ht="14.25">
      <c r="A18" s="7" t="s">
        <v>12</v>
      </c>
      <c r="B18" s="140">
        <v>1574560</v>
      </c>
      <c r="C18" s="230">
        <f t="shared" si="0"/>
        <v>9.3803972856272176E-4</v>
      </c>
      <c r="D18" s="139"/>
      <c r="E18" s="267">
        <v>10864</v>
      </c>
      <c r="F18" s="169">
        <f t="shared" si="1"/>
        <v>2.3346079410193452E-3</v>
      </c>
      <c r="G18" s="81">
        <f t="shared" si="12"/>
        <v>1.9844167498664434E-3</v>
      </c>
      <c r="H18" s="82">
        <v>4292.05</v>
      </c>
      <c r="I18" s="169">
        <f t="shared" si="2"/>
        <v>6.6833395255756198E-2</v>
      </c>
      <c r="J18" s="83">
        <f t="shared" si="13"/>
        <v>1.002500928836343E-2</v>
      </c>
      <c r="K18" s="230">
        <f t="shared" si="14"/>
        <v>1.2009426038229874E-2</v>
      </c>
      <c r="M18" s="84">
        <v>2046</v>
      </c>
      <c r="N18" s="85">
        <v>494</v>
      </c>
      <c r="O18" s="85">
        <v>4758</v>
      </c>
      <c r="P18" s="85">
        <v>898</v>
      </c>
      <c r="Q18" s="86">
        <f t="shared" si="15"/>
        <v>1.1964604419535403E-3</v>
      </c>
      <c r="R18" s="86">
        <f t="shared" si="3"/>
        <v>1.4039994088423542E-3</v>
      </c>
      <c r="S18" s="86">
        <f t="shared" si="3"/>
        <v>3.5603325970224304E-3</v>
      </c>
      <c r="T18" s="86">
        <f t="shared" si="3"/>
        <v>5.7353805278082927E-3</v>
      </c>
      <c r="U18" s="268">
        <f t="shared" si="16"/>
        <v>1.1896172975626618E-2</v>
      </c>
      <c r="V18" s="269">
        <v>787.99999998764804</v>
      </c>
      <c r="W18" s="269">
        <v>378</v>
      </c>
      <c r="X18" s="269">
        <v>1925</v>
      </c>
      <c r="Y18" s="269">
        <v>123</v>
      </c>
      <c r="Z18" s="86">
        <f t="shared" si="17"/>
        <v>6.1973461516668131E-4</v>
      </c>
      <c r="AA18" s="86">
        <f t="shared" si="4"/>
        <v>1.2902433030228557E-3</v>
      </c>
      <c r="AB18" s="86">
        <f t="shared" si="4"/>
        <v>3.9089151694337047E-3</v>
      </c>
      <c r="AC18" s="86">
        <f t="shared" si="4"/>
        <v>2.2402739326825003E-3</v>
      </c>
      <c r="AD18" s="80">
        <f t="shared" si="18"/>
        <v>8.0591670203057422E-3</v>
      </c>
      <c r="AE18" s="270">
        <f t="shared" si="19"/>
        <v>6.8502919672598804E-3</v>
      </c>
      <c r="AF18" s="169">
        <f t="shared" si="5"/>
        <v>-0.32254120406472697</v>
      </c>
      <c r="AG18" s="185">
        <f t="shared" si="6"/>
        <v>-0.32254120406472697</v>
      </c>
      <c r="AH18" s="169">
        <f t="shared" si="20"/>
        <v>6.0102464236475396E-2</v>
      </c>
      <c r="AI18" s="81">
        <f t="shared" si="7"/>
        <v>9.0153696354713098E-3</v>
      </c>
      <c r="AJ18" s="230">
        <f t="shared" si="8"/>
        <v>1.5865661602731191E-2</v>
      </c>
      <c r="AL18" s="93">
        <f t="shared" si="9"/>
        <v>262264.55915600021</v>
      </c>
      <c r="AM18" s="94">
        <f t="shared" si="10"/>
        <v>1678845.1116344952</v>
      </c>
      <c r="AN18" s="94">
        <f t="shared" si="21"/>
        <v>2217923.5160615863</v>
      </c>
      <c r="AO18" s="94">
        <f t="shared" si="11"/>
        <v>4159033.1868520817</v>
      </c>
      <c r="AP18" s="133">
        <f t="shared" si="22"/>
        <v>7.4377917745216274E-3</v>
      </c>
    </row>
    <row r="19" spans="1:42" ht="14.25">
      <c r="A19" s="7" t="s">
        <v>13</v>
      </c>
      <c r="B19" s="140">
        <v>6283528</v>
      </c>
      <c r="C19" s="230">
        <f t="shared" si="0"/>
        <v>3.7433942812825564E-3</v>
      </c>
      <c r="D19" s="139"/>
      <c r="E19" s="267">
        <v>24526</v>
      </c>
      <c r="F19" s="169">
        <f t="shared" si="1"/>
        <v>5.2704891717084371E-3</v>
      </c>
      <c r="G19" s="81">
        <f t="shared" si="12"/>
        <v>4.4799157959521715E-3</v>
      </c>
      <c r="H19" s="82">
        <v>146.56</v>
      </c>
      <c r="I19" s="169">
        <f t="shared" si="2"/>
        <v>2.2821501167702212E-3</v>
      </c>
      <c r="J19" s="83">
        <f t="shared" si="13"/>
        <v>3.4232251751553319E-4</v>
      </c>
      <c r="K19" s="230">
        <f t="shared" si="14"/>
        <v>4.8222383134677044E-3</v>
      </c>
      <c r="M19" s="84">
        <v>1162</v>
      </c>
      <c r="N19" s="85">
        <v>349</v>
      </c>
      <c r="O19" s="85">
        <v>489</v>
      </c>
      <c r="P19" s="85">
        <v>43</v>
      </c>
      <c r="Q19" s="86">
        <f t="shared" si="15"/>
        <v>6.7951467915445456E-4</v>
      </c>
      <c r="R19" s="86">
        <f t="shared" si="3"/>
        <v>9.9189431920239184E-4</v>
      </c>
      <c r="S19" s="86">
        <f t="shared" si="3"/>
        <v>3.6591060108111993E-4</v>
      </c>
      <c r="T19" s="86">
        <f t="shared" si="3"/>
        <v>2.7463403418235698E-4</v>
      </c>
      <c r="U19" s="268">
        <f t="shared" si="16"/>
        <v>2.3119536336203231E-3</v>
      </c>
      <c r="V19" s="269">
        <v>2032.9999999577099</v>
      </c>
      <c r="W19" s="269">
        <v>358</v>
      </c>
      <c r="X19" s="269">
        <v>131</v>
      </c>
      <c r="Y19" s="269">
        <v>31</v>
      </c>
      <c r="Z19" s="86">
        <f t="shared" si="17"/>
        <v>1.5988838485119338E-3</v>
      </c>
      <c r="AA19" s="86">
        <f t="shared" si="4"/>
        <v>1.221976461593075E-3</v>
      </c>
      <c r="AB19" s="86">
        <f t="shared" si="4"/>
        <v>2.6600929204977422E-4</v>
      </c>
      <c r="AC19" s="86">
        <f t="shared" si="4"/>
        <v>5.6462188547282534E-4</v>
      </c>
      <c r="AD19" s="80">
        <f t="shared" si="18"/>
        <v>3.6514914876276086E-3</v>
      </c>
      <c r="AE19" s="270">
        <f t="shared" si="19"/>
        <v>3.1037677644834673E-3</v>
      </c>
      <c r="AF19" s="169">
        <f t="shared" si="5"/>
        <v>0.57939650455259473</v>
      </c>
      <c r="AG19" s="185">
        <f t="shared" si="6"/>
        <v>0</v>
      </c>
      <c r="AH19" s="169">
        <f t="shared" si="20"/>
        <v>0</v>
      </c>
      <c r="AI19" s="81">
        <f t="shared" si="7"/>
        <v>0</v>
      </c>
      <c r="AJ19" s="230">
        <f t="shared" si="8"/>
        <v>3.1037677644834673E-3</v>
      </c>
      <c r="AL19" s="93">
        <f t="shared" si="9"/>
        <v>1046607.7512856822</v>
      </c>
      <c r="AM19" s="94">
        <f t="shared" si="10"/>
        <v>674119.74510108272</v>
      </c>
      <c r="AN19" s="94">
        <f t="shared" si="21"/>
        <v>433887.95788111037</v>
      </c>
      <c r="AO19" s="94">
        <f t="shared" si="11"/>
        <v>2154615.4542678753</v>
      </c>
      <c r="AP19" s="133">
        <f t="shared" si="22"/>
        <v>3.8531986601290712E-3</v>
      </c>
    </row>
    <row r="20" spans="1:42" ht="14.25">
      <c r="A20" s="7" t="s">
        <v>14</v>
      </c>
      <c r="B20" s="140">
        <v>2012114.4</v>
      </c>
      <c r="C20" s="230">
        <f t="shared" si="0"/>
        <v>1.1987115420264351E-3</v>
      </c>
      <c r="D20" s="139"/>
      <c r="E20" s="267">
        <v>35445</v>
      </c>
      <c r="F20" s="169">
        <f t="shared" si="1"/>
        <v>7.6169162803231489E-3</v>
      </c>
      <c r="G20" s="81">
        <f t="shared" si="12"/>
        <v>6.4743788382746765E-3</v>
      </c>
      <c r="H20" s="82">
        <v>5091.18</v>
      </c>
      <c r="I20" s="169">
        <f t="shared" si="2"/>
        <v>7.9276999396139566E-2</v>
      </c>
      <c r="J20" s="83">
        <f t="shared" si="13"/>
        <v>1.1891549909420934E-2</v>
      </c>
      <c r="K20" s="230">
        <f t="shared" si="14"/>
        <v>1.836592874769561E-2</v>
      </c>
      <c r="M20" s="84">
        <v>7369</v>
      </c>
      <c r="N20" s="85">
        <v>3474</v>
      </c>
      <c r="O20" s="85">
        <v>27910</v>
      </c>
      <c r="P20" s="85">
        <v>2988</v>
      </c>
      <c r="Q20" s="86">
        <f t="shared" si="15"/>
        <v>4.3092458439665882E-3</v>
      </c>
      <c r="R20" s="86">
        <f t="shared" si="3"/>
        <v>9.8734695269601987E-3</v>
      </c>
      <c r="S20" s="86">
        <f t="shared" si="3"/>
        <v>2.08845907488222E-2</v>
      </c>
      <c r="T20" s="86">
        <f t="shared" si="3"/>
        <v>1.9083871956671692E-2</v>
      </c>
      <c r="U20" s="268">
        <f t="shared" si="16"/>
        <v>5.4151178076420683E-2</v>
      </c>
      <c r="V20" s="269">
        <v>7387.0000000238397</v>
      </c>
      <c r="W20" s="269">
        <v>3170</v>
      </c>
      <c r="X20" s="269">
        <v>23798</v>
      </c>
      <c r="Y20" s="269">
        <v>1385</v>
      </c>
      <c r="Z20" s="86">
        <f t="shared" si="17"/>
        <v>5.8096187846736159E-3</v>
      </c>
      <c r="AA20" s="86">
        <f t="shared" si="4"/>
        <v>1.0820294366620246E-2</v>
      </c>
      <c r="AB20" s="86">
        <f t="shared" si="4"/>
        <v>4.8324344520614702E-2</v>
      </c>
      <c r="AC20" s="86">
        <f t="shared" si="4"/>
        <v>2.522584875418913E-2</v>
      </c>
      <c r="AD20" s="80">
        <f t="shared" si="18"/>
        <v>9.0180106426097695E-2</v>
      </c>
      <c r="AE20" s="270">
        <f t="shared" si="19"/>
        <v>7.6653090462183035E-2</v>
      </c>
      <c r="AF20" s="169">
        <f t="shared" si="5"/>
        <v>0.66533969582030694</v>
      </c>
      <c r="AG20" s="185">
        <f t="shared" si="6"/>
        <v>0</v>
      </c>
      <c r="AH20" s="169">
        <f t="shared" si="20"/>
        <v>0</v>
      </c>
      <c r="AI20" s="81">
        <f t="shared" si="7"/>
        <v>0</v>
      </c>
      <c r="AJ20" s="230">
        <f t="shared" si="8"/>
        <v>7.6653090462183035E-2</v>
      </c>
      <c r="AL20" s="93">
        <f t="shared" si="9"/>
        <v>335145.24444126606</v>
      </c>
      <c r="AM20" s="94">
        <f t="shared" si="10"/>
        <v>2567445.738084659</v>
      </c>
      <c r="AN20" s="94">
        <f t="shared" si="21"/>
        <v>10715638.34978085</v>
      </c>
      <c r="AO20" s="94">
        <f t="shared" si="11"/>
        <v>13618229.332306776</v>
      </c>
      <c r="AP20" s="133">
        <f t="shared" si="22"/>
        <v>2.4354110573482881E-2</v>
      </c>
    </row>
    <row r="21" spans="1:42" ht="14.25">
      <c r="A21" s="7" t="s">
        <v>15</v>
      </c>
      <c r="B21" s="140">
        <v>76799</v>
      </c>
      <c r="C21" s="230">
        <f t="shared" si="0"/>
        <v>4.5752790058104149E-5</v>
      </c>
      <c r="D21" s="139"/>
      <c r="E21" s="267">
        <v>1716</v>
      </c>
      <c r="F21" s="169">
        <f t="shared" si="1"/>
        <v>3.6875802897544147E-4</v>
      </c>
      <c r="G21" s="81">
        <f t="shared" si="12"/>
        <v>3.1344432462912525E-4</v>
      </c>
      <c r="H21" s="82">
        <v>720.74</v>
      </c>
      <c r="I21" s="169">
        <f t="shared" si="2"/>
        <v>1.1222959028117967E-2</v>
      </c>
      <c r="J21" s="83">
        <f t="shared" si="13"/>
        <v>1.683443854217695E-3</v>
      </c>
      <c r="K21" s="230">
        <f t="shared" si="14"/>
        <v>1.9968881788468202E-3</v>
      </c>
      <c r="M21" s="84">
        <v>381</v>
      </c>
      <c r="N21" s="85">
        <v>111</v>
      </c>
      <c r="O21" s="85">
        <v>881</v>
      </c>
      <c r="P21" s="85">
        <v>100</v>
      </c>
      <c r="Q21" s="86">
        <f t="shared" si="15"/>
        <v>2.2280128464530736E-4</v>
      </c>
      <c r="R21" s="86">
        <f t="shared" si="3"/>
        <v>3.1547355137955733E-4</v>
      </c>
      <c r="S21" s="86">
        <f t="shared" si="3"/>
        <v>6.5923770869625079E-4</v>
      </c>
      <c r="T21" s="86">
        <f t="shared" si="3"/>
        <v>6.3868380042408609E-4</v>
      </c>
      <c r="U21" s="268">
        <f t="shared" si="16"/>
        <v>1.8361963451452015E-3</v>
      </c>
      <c r="V21" s="269">
        <v>157.99999999728001</v>
      </c>
      <c r="W21" s="269">
        <v>83</v>
      </c>
      <c r="X21" s="269">
        <v>189</v>
      </c>
      <c r="Y21" s="269">
        <v>25</v>
      </c>
      <c r="Z21" s="86">
        <f t="shared" si="17"/>
        <v>1.2426150913221427E-4</v>
      </c>
      <c r="AA21" s="86">
        <f t="shared" si="4"/>
        <v>2.8330739193359002E-4</v>
      </c>
      <c r="AB21" s="86">
        <f t="shared" si="4"/>
        <v>3.8378439845349104E-4</v>
      </c>
      <c r="AC21" s="86">
        <f t="shared" si="4"/>
        <v>4.5534023022002039E-4</v>
      </c>
      <c r="AD21" s="80">
        <f t="shared" si="18"/>
        <v>1.2466935297393157E-3</v>
      </c>
      <c r="AE21" s="270">
        <f t="shared" si="19"/>
        <v>1.0596895002784182E-3</v>
      </c>
      <c r="AF21" s="169">
        <f t="shared" si="5"/>
        <v>-0.32104563162022282</v>
      </c>
      <c r="AG21" s="185">
        <f t="shared" si="6"/>
        <v>-0.32104563162022282</v>
      </c>
      <c r="AH21" s="169">
        <f t="shared" si="20"/>
        <v>5.982377863529921E-2</v>
      </c>
      <c r="AI21" s="81">
        <f t="shared" si="7"/>
        <v>8.9735667952948808E-3</v>
      </c>
      <c r="AJ21" s="230">
        <f t="shared" si="8"/>
        <v>1.0033256295573299E-2</v>
      </c>
      <c r="AL21" s="93">
        <f t="shared" si="9"/>
        <v>12791.92655638506</v>
      </c>
      <c r="AM21" s="94">
        <f t="shared" si="10"/>
        <v>279152.88764556387</v>
      </c>
      <c r="AN21" s="94">
        <f t="shared" si="21"/>
        <v>1402588.5360364828</v>
      </c>
      <c r="AO21" s="94">
        <f t="shared" si="11"/>
        <v>1694533.3502384317</v>
      </c>
      <c r="AP21" s="133">
        <f t="shared" si="22"/>
        <v>3.030412513634082E-3</v>
      </c>
    </row>
    <row r="22" spans="1:42" ht="14.25">
      <c r="A22" s="7" t="s">
        <v>16</v>
      </c>
      <c r="B22" s="140">
        <v>179058</v>
      </c>
      <c r="C22" s="230">
        <f t="shared" si="0"/>
        <v>1.0667330410843907E-4</v>
      </c>
      <c r="D22" s="139"/>
      <c r="E22" s="267">
        <v>3345</v>
      </c>
      <c r="F22" s="169">
        <f t="shared" si="1"/>
        <v>7.1882028375457561E-4</v>
      </c>
      <c r="G22" s="81">
        <f t="shared" si="12"/>
        <v>6.1099724119138929E-4</v>
      </c>
      <c r="H22" s="82">
        <v>615.78</v>
      </c>
      <c r="I22" s="169">
        <f t="shared" si="2"/>
        <v>9.5885807785532663E-3</v>
      </c>
      <c r="J22" s="83">
        <f t="shared" si="13"/>
        <v>1.4382871167829899E-3</v>
      </c>
      <c r="K22" s="230">
        <f t="shared" si="14"/>
        <v>2.049284357974379E-3</v>
      </c>
      <c r="M22" s="84">
        <v>519</v>
      </c>
      <c r="N22" s="85">
        <v>176</v>
      </c>
      <c r="O22" s="85">
        <v>1034</v>
      </c>
      <c r="P22" s="85">
        <v>145</v>
      </c>
      <c r="Q22" s="86">
        <f t="shared" si="15"/>
        <v>3.0350096254833211E-4</v>
      </c>
      <c r="R22" s="86">
        <f t="shared" si="3"/>
        <v>5.0021031570091968E-4</v>
      </c>
      <c r="S22" s="86">
        <f t="shared" si="3"/>
        <v>7.7372507467868713E-4</v>
      </c>
      <c r="T22" s="86">
        <f t="shared" si="3"/>
        <v>9.2609151061492478E-4</v>
      </c>
      <c r="U22" s="268">
        <f t="shared" si="16"/>
        <v>2.5035278635428637E-3</v>
      </c>
      <c r="V22" s="269">
        <v>277.00000000287605</v>
      </c>
      <c r="W22" s="269">
        <v>136</v>
      </c>
      <c r="X22" s="269">
        <v>317</v>
      </c>
      <c r="Y22" s="269">
        <v>84</v>
      </c>
      <c r="Z22" s="86">
        <f t="shared" si="17"/>
        <v>2.1785087361122336E-4</v>
      </c>
      <c r="AA22" s="86">
        <f t="shared" si="4"/>
        <v>4.6421452172250896E-4</v>
      </c>
      <c r="AB22" s="86">
        <f t="shared" si="4"/>
        <v>6.4370187465479715E-4</v>
      </c>
      <c r="AC22" s="86">
        <f t="shared" si="4"/>
        <v>1.5299431735392686E-3</v>
      </c>
      <c r="AD22" s="80">
        <f t="shared" si="18"/>
        <v>2.8557104435277978E-3</v>
      </c>
      <c r="AE22" s="270">
        <f t="shared" si="19"/>
        <v>2.4273538769986279E-3</v>
      </c>
      <c r="AF22" s="169">
        <f t="shared" si="5"/>
        <v>0.14067451979006276</v>
      </c>
      <c r="AG22" s="185">
        <f t="shared" si="6"/>
        <v>0</v>
      </c>
      <c r="AH22" s="169">
        <f t="shared" si="20"/>
        <v>0</v>
      </c>
      <c r="AI22" s="81">
        <f t="shared" si="7"/>
        <v>0</v>
      </c>
      <c r="AJ22" s="230">
        <f t="shared" si="8"/>
        <v>2.4273538769986279E-3</v>
      </c>
      <c r="AL22" s="93">
        <f t="shared" si="9"/>
        <v>29824.565233052464</v>
      </c>
      <c r="AM22" s="94">
        <f t="shared" si="10"/>
        <v>286477.55652787403</v>
      </c>
      <c r="AN22" s="94">
        <f t="shared" si="21"/>
        <v>339329.38823501358</v>
      </c>
      <c r="AO22" s="94">
        <f t="shared" si="11"/>
        <v>655631.50999594014</v>
      </c>
      <c r="AP22" s="133">
        <f t="shared" si="22"/>
        <v>1.1724962107974714E-3</v>
      </c>
    </row>
    <row r="23" spans="1:42" ht="14.25">
      <c r="A23" s="7" t="s">
        <v>17</v>
      </c>
      <c r="B23" s="140">
        <v>1051411.95</v>
      </c>
      <c r="C23" s="230">
        <f t="shared" si="0"/>
        <v>6.2637573683162401E-4</v>
      </c>
      <c r="D23" s="139"/>
      <c r="E23" s="267">
        <v>39991</v>
      </c>
      <c r="F23" s="169">
        <f t="shared" si="1"/>
        <v>8.5938242055692785E-3</v>
      </c>
      <c r="G23" s="81">
        <f t="shared" si="12"/>
        <v>7.3047505747338868E-3</v>
      </c>
      <c r="H23" s="82">
        <v>7010.79</v>
      </c>
      <c r="I23" s="169">
        <f t="shared" si="2"/>
        <v>0.1091680896366778</v>
      </c>
      <c r="J23" s="83">
        <f t="shared" si="13"/>
        <v>1.637521344550167E-2</v>
      </c>
      <c r="K23" s="230">
        <f t="shared" si="14"/>
        <v>2.3679964020235558E-2</v>
      </c>
      <c r="M23" s="84">
        <v>6824</v>
      </c>
      <c r="N23" s="85">
        <v>2866</v>
      </c>
      <c r="O23" s="85">
        <v>26645</v>
      </c>
      <c r="P23" s="85">
        <v>2369</v>
      </c>
      <c r="Q23" s="86">
        <f t="shared" si="15"/>
        <v>3.9905405942771066E-3</v>
      </c>
      <c r="R23" s="86">
        <f t="shared" si="15"/>
        <v>8.1454702545388398E-3</v>
      </c>
      <c r="S23" s="86">
        <f t="shared" si="15"/>
        <v>1.9938012200013171E-2</v>
      </c>
      <c r="T23" s="86">
        <f t="shared" si="15"/>
        <v>1.5130419232046598E-2</v>
      </c>
      <c r="U23" s="268">
        <f t="shared" si="16"/>
        <v>4.7204442280875711E-2</v>
      </c>
      <c r="V23" s="269">
        <v>7532.9999999958</v>
      </c>
      <c r="W23" s="269">
        <v>2466</v>
      </c>
      <c r="X23" s="269">
        <v>13627</v>
      </c>
      <c r="Y23" s="269">
        <v>715</v>
      </c>
      <c r="Z23" s="86">
        <f t="shared" si="17"/>
        <v>5.9244427108136877E-3</v>
      </c>
      <c r="AA23" s="86">
        <f t="shared" si="4"/>
        <v>8.4173015482919642E-3</v>
      </c>
      <c r="AB23" s="86">
        <f t="shared" si="4"/>
        <v>2.7671058189024985E-2</v>
      </c>
      <c r="AC23" s="86">
        <f t="shared" si="4"/>
        <v>1.3022730584292583E-2</v>
      </c>
      <c r="AD23" s="80">
        <f t="shared" si="18"/>
        <v>5.5035533032423221E-2</v>
      </c>
      <c r="AE23" s="270">
        <f t="shared" si="19"/>
        <v>4.6780203077559736E-2</v>
      </c>
      <c r="AF23" s="169">
        <f t="shared" si="5"/>
        <v>0.16589732603874402</v>
      </c>
      <c r="AG23" s="185">
        <f t="shared" si="6"/>
        <v>0</v>
      </c>
      <c r="AH23" s="169">
        <f t="shared" si="20"/>
        <v>0</v>
      </c>
      <c r="AI23" s="81">
        <f t="shared" si="7"/>
        <v>0</v>
      </c>
      <c r="AJ23" s="230">
        <f t="shared" si="8"/>
        <v>4.6780203077559736E-2</v>
      </c>
      <c r="AL23" s="93">
        <f t="shared" si="9"/>
        <v>175127.07776020002</v>
      </c>
      <c r="AM23" s="94">
        <f t="shared" si="10"/>
        <v>3310315.7230412378</v>
      </c>
      <c r="AN23" s="94">
        <f t="shared" si="21"/>
        <v>6539589.4031923302</v>
      </c>
      <c r="AO23" s="94">
        <f t="shared" si="11"/>
        <v>10025032.203993767</v>
      </c>
      <c r="AP23" s="133">
        <f t="shared" si="22"/>
        <v>1.7928229642864637E-2</v>
      </c>
    </row>
    <row r="24" spans="1:42" ht="14.25">
      <c r="A24" s="7" t="s">
        <v>18</v>
      </c>
      <c r="B24" s="140">
        <v>14320564.58</v>
      </c>
      <c r="C24" s="230">
        <f t="shared" si="0"/>
        <v>8.5314364085764451E-3</v>
      </c>
      <c r="D24" s="139"/>
      <c r="E24" s="267">
        <v>143668</v>
      </c>
      <c r="F24" s="169">
        <f t="shared" si="1"/>
        <v>3.0873384910748092E-2</v>
      </c>
      <c r="G24" s="81">
        <f t="shared" si="12"/>
        <v>2.6242377174135877E-2</v>
      </c>
      <c r="H24" s="82">
        <v>1040.01</v>
      </c>
      <c r="I24" s="169">
        <f t="shared" si="2"/>
        <v>1.6194452394529189E-2</v>
      </c>
      <c r="J24" s="83">
        <f t="shared" si="13"/>
        <v>2.4291678591793781E-3</v>
      </c>
      <c r="K24" s="230">
        <f t="shared" si="14"/>
        <v>2.8671545033315253E-2</v>
      </c>
      <c r="M24" s="84">
        <v>3671</v>
      </c>
      <c r="N24" s="85">
        <v>1263</v>
      </c>
      <c r="O24" s="85">
        <v>9334</v>
      </c>
      <c r="P24" s="85">
        <v>932</v>
      </c>
      <c r="Q24" s="86">
        <f t="shared" si="15"/>
        <v>2.1467283882753894E-3</v>
      </c>
      <c r="R24" s="86">
        <f t="shared" si="15"/>
        <v>3.5895774359673955E-3</v>
      </c>
      <c r="S24" s="86">
        <f t="shared" si="15"/>
        <v>6.9844776083664078E-3</v>
      </c>
      <c r="T24" s="86">
        <f t="shared" si="15"/>
        <v>5.9525330199524818E-3</v>
      </c>
      <c r="U24" s="268">
        <f t="shared" si="16"/>
        <v>1.8673316452561674E-2</v>
      </c>
      <c r="V24" s="269">
        <v>8688.9999999445354</v>
      </c>
      <c r="W24" s="269">
        <v>1809</v>
      </c>
      <c r="X24" s="269">
        <v>2369</v>
      </c>
      <c r="Y24" s="269">
        <v>783</v>
      </c>
      <c r="Z24" s="86">
        <f t="shared" si="17"/>
        <v>6.8335965370981333E-3</v>
      </c>
      <c r="AA24" s="86">
        <f t="shared" si="4"/>
        <v>6.1747358073236669E-3</v>
      </c>
      <c r="AB24" s="86">
        <f t="shared" si="4"/>
        <v>4.8105039150069849E-3</v>
      </c>
      <c r="AC24" s="86">
        <f t="shared" si="4"/>
        <v>1.4261256010491039E-2</v>
      </c>
      <c r="AD24" s="80">
        <f t="shared" si="18"/>
        <v>3.2080092269919827E-2</v>
      </c>
      <c r="AE24" s="270">
        <f t="shared" si="19"/>
        <v>2.7268078429431852E-2</v>
      </c>
      <c r="AF24" s="169">
        <f t="shared" si="5"/>
        <v>0.71796436650217865</v>
      </c>
      <c r="AG24" s="185">
        <f t="shared" si="6"/>
        <v>0</v>
      </c>
      <c r="AH24" s="169">
        <f t="shared" si="20"/>
        <v>0</v>
      </c>
      <c r="AI24" s="81">
        <f t="shared" si="7"/>
        <v>0</v>
      </c>
      <c r="AJ24" s="230">
        <f t="shared" si="8"/>
        <v>2.7268078429431852E-2</v>
      </c>
      <c r="AL24" s="93">
        <f t="shared" si="9"/>
        <v>2385286.4015589952</v>
      </c>
      <c r="AM24" s="94">
        <f t="shared" si="10"/>
        <v>4008108.5531448475</v>
      </c>
      <c r="AN24" s="94">
        <f t="shared" si="21"/>
        <v>3811912.4118995159</v>
      </c>
      <c r="AO24" s="94">
        <f t="shared" si="11"/>
        <v>10205307.36660336</v>
      </c>
      <c r="AP24" s="133">
        <f t="shared" si="22"/>
        <v>1.8250624069975002E-2</v>
      </c>
    </row>
    <row r="25" spans="1:42" ht="14.25">
      <c r="A25" s="7" t="s">
        <v>19</v>
      </c>
      <c r="B25" s="140">
        <v>767957.79</v>
      </c>
      <c r="C25" s="230">
        <f t="shared" si="0"/>
        <v>4.5750871156337498E-4</v>
      </c>
      <c r="D25" s="139"/>
      <c r="E25" s="267">
        <v>5527</v>
      </c>
      <c r="F25" s="169">
        <f t="shared" si="1"/>
        <v>1.1877188963562151E-3</v>
      </c>
      <c r="G25" s="81">
        <f t="shared" si="12"/>
        <v>1.0095610619027828E-3</v>
      </c>
      <c r="H25" s="82">
        <v>1894.8</v>
      </c>
      <c r="I25" s="169">
        <f t="shared" si="2"/>
        <v>2.9504762836082252E-2</v>
      </c>
      <c r="J25" s="83">
        <f t="shared" si="13"/>
        <v>4.425714425412338E-3</v>
      </c>
      <c r="K25" s="230">
        <f t="shared" si="14"/>
        <v>5.4352754873151204E-3</v>
      </c>
      <c r="M25" s="84">
        <v>814</v>
      </c>
      <c r="N25" s="85">
        <v>270</v>
      </c>
      <c r="O25" s="85">
        <v>1738</v>
      </c>
      <c r="P25" s="85">
        <v>531</v>
      </c>
      <c r="Q25" s="86">
        <f t="shared" si="15"/>
        <v>4.760111435729139E-4</v>
      </c>
      <c r="R25" s="86">
        <f t="shared" si="15"/>
        <v>7.6736809795027456E-4</v>
      </c>
      <c r="S25" s="86">
        <f t="shared" si="15"/>
        <v>1.3005166148854527E-3</v>
      </c>
      <c r="T25" s="86">
        <f t="shared" si="15"/>
        <v>3.3914109802518971E-3</v>
      </c>
      <c r="U25" s="268">
        <f t="shared" si="16"/>
        <v>5.9353068366605382E-3</v>
      </c>
      <c r="V25" s="269">
        <v>320.00000000721394</v>
      </c>
      <c r="W25" s="269">
        <v>216</v>
      </c>
      <c r="X25" s="269">
        <v>671</v>
      </c>
      <c r="Y25" s="269">
        <v>199</v>
      </c>
      <c r="Z25" s="86">
        <f t="shared" si="17"/>
        <v>2.5166887926512352E-4</v>
      </c>
      <c r="AA25" s="86">
        <f t="shared" si="4"/>
        <v>7.372818874416319E-4</v>
      </c>
      <c r="AB25" s="86">
        <f t="shared" si="4"/>
        <v>1.3625361447740343E-3</v>
      </c>
      <c r="AC25" s="86">
        <f t="shared" si="4"/>
        <v>3.6245082325513625E-3</v>
      </c>
      <c r="AD25" s="80">
        <f t="shared" si="18"/>
        <v>5.9759951440321521E-3</v>
      </c>
      <c r="AE25" s="270">
        <f t="shared" si="19"/>
        <v>5.0795958724273293E-3</v>
      </c>
      <c r="AF25" s="169">
        <f t="shared" si="5"/>
        <v>6.8552997328284624E-3</v>
      </c>
      <c r="AG25" s="185">
        <f t="shared" si="6"/>
        <v>0</v>
      </c>
      <c r="AH25" s="169">
        <f t="shared" si="20"/>
        <v>0</v>
      </c>
      <c r="AI25" s="81">
        <f t="shared" si="7"/>
        <v>0</v>
      </c>
      <c r="AJ25" s="230">
        <f t="shared" si="8"/>
        <v>5.0795958724273293E-3</v>
      </c>
      <c r="AL25" s="93">
        <f t="shared" si="9"/>
        <v>127913.90054667095</v>
      </c>
      <c r="AM25" s="94">
        <f t="shared" si="10"/>
        <v>759818.63356483623</v>
      </c>
      <c r="AN25" s="94">
        <f t="shared" si="21"/>
        <v>710096.77501293318</v>
      </c>
      <c r="AO25" s="94">
        <f t="shared" si="11"/>
        <v>1597829.3091244404</v>
      </c>
      <c r="AP25" s="133">
        <f t="shared" si="22"/>
        <v>2.8574721957172998E-3</v>
      </c>
    </row>
    <row r="26" spans="1:42" ht="14.25">
      <c r="A26" s="7" t="s">
        <v>20</v>
      </c>
      <c r="B26" s="140">
        <v>58304044.220000014</v>
      </c>
      <c r="C26" s="230">
        <f t="shared" si="0"/>
        <v>3.4734471734476767E-2</v>
      </c>
      <c r="D26" s="139"/>
      <c r="E26" s="267">
        <v>357937</v>
      </c>
      <c r="F26" s="169">
        <f t="shared" si="1"/>
        <v>7.6918498028777746E-2</v>
      </c>
      <c r="G26" s="81">
        <f t="shared" si="12"/>
        <v>6.5380723324461085E-2</v>
      </c>
      <c r="H26" s="82">
        <v>151.27000000000001</v>
      </c>
      <c r="I26" s="169">
        <f t="shared" si="2"/>
        <v>2.3554915950043079E-3</v>
      </c>
      <c r="J26" s="83">
        <f t="shared" si="13"/>
        <v>3.5332373925064616E-4</v>
      </c>
      <c r="K26" s="230">
        <f t="shared" si="14"/>
        <v>6.5734047063711734E-2</v>
      </c>
      <c r="M26" s="84">
        <v>25525</v>
      </c>
      <c r="N26" s="85">
        <v>4815</v>
      </c>
      <c r="O26" s="85">
        <v>33044</v>
      </c>
      <c r="P26" s="85">
        <v>5258</v>
      </c>
      <c r="Q26" s="86">
        <f t="shared" si="15"/>
        <v>1.4926516510686275E-2</v>
      </c>
      <c r="R26" s="86">
        <f t="shared" si="15"/>
        <v>1.3684731080113229E-2</v>
      </c>
      <c r="S26" s="86">
        <f t="shared" si="15"/>
        <v>2.4726277918455063E-2</v>
      </c>
      <c r="T26" s="86">
        <f t="shared" si="15"/>
        <v>3.3581994226298442E-2</v>
      </c>
      <c r="U26" s="268">
        <f t="shared" si="16"/>
        <v>8.6919519735553008E-2</v>
      </c>
      <c r="V26" s="269">
        <v>20136.00000070727</v>
      </c>
      <c r="W26" s="269">
        <v>4791</v>
      </c>
      <c r="X26" s="269">
        <v>5994</v>
      </c>
      <c r="Y26" s="269">
        <v>875</v>
      </c>
      <c r="Z26" s="86">
        <f t="shared" si="17"/>
        <v>1.5836264227957138E-2</v>
      </c>
      <c r="AA26" s="86">
        <f t="shared" si="4"/>
        <v>1.6353321864503972E-2</v>
      </c>
      <c r="AB26" s="86">
        <f t="shared" si="4"/>
        <v>1.2171448065239286E-2</v>
      </c>
      <c r="AC26" s="86">
        <f t="shared" si="4"/>
        <v>1.5936908057700715E-2</v>
      </c>
      <c r="AD26" s="80">
        <f t="shared" si="18"/>
        <v>6.0297942215401121E-2</v>
      </c>
      <c r="AE26" s="270">
        <f t="shared" si="19"/>
        <v>5.1253250883090955E-2</v>
      </c>
      <c r="AF26" s="169">
        <f t="shared" si="5"/>
        <v>-0.30627847002774872</v>
      </c>
      <c r="AG26" s="185">
        <f t="shared" si="6"/>
        <v>-0.30627847002774872</v>
      </c>
      <c r="AH26" s="169">
        <f t="shared" si="20"/>
        <v>5.7072059505151061E-2</v>
      </c>
      <c r="AI26" s="81">
        <f t="shared" si="7"/>
        <v>8.5608089257726595E-3</v>
      </c>
      <c r="AJ26" s="230">
        <f t="shared" si="8"/>
        <v>5.9814059808863618E-2</v>
      </c>
      <c r="AL26" s="93">
        <f t="shared" si="9"/>
        <v>9711338.0591214355</v>
      </c>
      <c r="AM26" s="94">
        <f t="shared" si="10"/>
        <v>9189222.135142969</v>
      </c>
      <c r="AN26" s="94">
        <f t="shared" si="21"/>
        <v>8361643.7286394387</v>
      </c>
      <c r="AO26" s="94">
        <f t="shared" si="11"/>
        <v>27262203.922903843</v>
      </c>
      <c r="AP26" s="133">
        <f t="shared" si="22"/>
        <v>4.8754262585382221E-2</v>
      </c>
    </row>
    <row r="27" spans="1:42" ht="14.25">
      <c r="A27" s="7" t="s">
        <v>21</v>
      </c>
      <c r="B27" s="140">
        <v>1155386.99</v>
      </c>
      <c r="C27" s="230">
        <f t="shared" si="0"/>
        <v>6.8831857692593491E-4</v>
      </c>
      <c r="D27" s="139"/>
      <c r="E27" s="267">
        <v>14437</v>
      </c>
      <c r="F27" s="169">
        <f t="shared" si="1"/>
        <v>3.1024240468056226E-3</v>
      </c>
      <c r="G27" s="81">
        <f t="shared" si="12"/>
        <v>2.637060439784779E-3</v>
      </c>
      <c r="H27" s="82">
        <v>2479.16</v>
      </c>
      <c r="I27" s="169">
        <f t="shared" si="2"/>
        <v>3.8604088997625963E-2</v>
      </c>
      <c r="J27" s="83">
        <f t="shared" si="13"/>
        <v>5.7906133496438946E-3</v>
      </c>
      <c r="K27" s="230">
        <f t="shared" si="14"/>
        <v>8.4276737894286736E-3</v>
      </c>
      <c r="M27" s="84">
        <v>3166</v>
      </c>
      <c r="N27" s="85">
        <v>724</v>
      </c>
      <c r="O27" s="85">
        <v>6502</v>
      </c>
      <c r="P27" s="85">
        <v>971</v>
      </c>
      <c r="Q27" s="86">
        <f t="shared" si="15"/>
        <v>1.8514143495722917E-3</v>
      </c>
      <c r="R27" s="86">
        <f t="shared" si="15"/>
        <v>2.0576833441333289E-3</v>
      </c>
      <c r="S27" s="86">
        <f t="shared" si="15"/>
        <v>4.8653389125346454E-3</v>
      </c>
      <c r="T27" s="86">
        <f t="shared" si="15"/>
        <v>6.2016197021178754E-3</v>
      </c>
      <c r="U27" s="268">
        <f t="shared" si="16"/>
        <v>1.4976056308358143E-2</v>
      </c>
      <c r="V27" s="269">
        <v>1684.0000000044001</v>
      </c>
      <c r="W27" s="269">
        <v>572</v>
      </c>
      <c r="X27" s="269">
        <v>3480</v>
      </c>
      <c r="Y27" s="269">
        <v>459</v>
      </c>
      <c r="Z27" s="86">
        <f t="shared" si="17"/>
        <v>1.3244074771063164E-3</v>
      </c>
      <c r="AA27" s="86">
        <f t="shared" si="4"/>
        <v>1.9524316648917288E-3</v>
      </c>
      <c r="AB27" s="86">
        <f t="shared" si="4"/>
        <v>7.0665063842230095E-3</v>
      </c>
      <c r="AC27" s="86">
        <f t="shared" si="4"/>
        <v>8.3600466268395745E-3</v>
      </c>
      <c r="AD27" s="80">
        <f t="shared" si="18"/>
        <v>1.8703392153060629E-2</v>
      </c>
      <c r="AE27" s="270">
        <f t="shared" si="19"/>
        <v>1.5897883330101534E-2</v>
      </c>
      <c r="AF27" s="169">
        <f t="shared" si="5"/>
        <v>0.24888634016568562</v>
      </c>
      <c r="AG27" s="185">
        <f t="shared" si="6"/>
        <v>0</v>
      </c>
      <c r="AH27" s="169">
        <f t="shared" si="20"/>
        <v>0</v>
      </c>
      <c r="AI27" s="81">
        <f t="shared" si="7"/>
        <v>0</v>
      </c>
      <c r="AJ27" s="230">
        <f t="shared" si="8"/>
        <v>1.5897883330101534E-2</v>
      </c>
      <c r="AL27" s="93">
        <f t="shared" si="9"/>
        <v>192445.54643006809</v>
      </c>
      <c r="AM27" s="94">
        <f t="shared" si="10"/>
        <v>1178137.814312893</v>
      </c>
      <c r="AN27" s="94">
        <f t="shared" si="21"/>
        <v>2222427.9186293627</v>
      </c>
      <c r="AO27" s="94">
        <f t="shared" si="11"/>
        <v>3593011.2793723238</v>
      </c>
      <c r="AP27" s="133">
        <f t="shared" si="22"/>
        <v>6.4255485683455196E-3</v>
      </c>
    </row>
    <row r="28" spans="1:42" ht="14.25">
      <c r="A28" s="7" t="s">
        <v>22</v>
      </c>
      <c r="B28" s="140">
        <v>61325</v>
      </c>
      <c r="C28" s="230">
        <f t="shared" si="0"/>
        <v>3.653419771498635E-5</v>
      </c>
      <c r="D28" s="139"/>
      <c r="E28" s="267">
        <v>1277</v>
      </c>
      <c r="F28" s="169">
        <f t="shared" si="1"/>
        <v>2.7441958216878717E-4</v>
      </c>
      <c r="G28" s="81">
        <f t="shared" si="12"/>
        <v>2.3325664484346909E-4</v>
      </c>
      <c r="H28" s="82">
        <v>388.05</v>
      </c>
      <c r="I28" s="169">
        <f t="shared" si="2"/>
        <v>6.0424969487765032E-3</v>
      </c>
      <c r="J28" s="83">
        <f t="shared" si="13"/>
        <v>9.0637454231647541E-4</v>
      </c>
      <c r="K28" s="230">
        <f t="shared" si="14"/>
        <v>1.1396311871599446E-3</v>
      </c>
      <c r="M28" s="84">
        <v>248</v>
      </c>
      <c r="N28" s="85">
        <v>63</v>
      </c>
      <c r="O28" s="85">
        <v>357</v>
      </c>
      <c r="P28" s="85">
        <v>74</v>
      </c>
      <c r="Q28" s="86">
        <f t="shared" si="15"/>
        <v>1.4502550811558066E-4</v>
      </c>
      <c r="R28" s="86">
        <f t="shared" si="15"/>
        <v>1.7905255618839739E-4</v>
      </c>
      <c r="S28" s="86">
        <f t="shared" si="15"/>
        <v>2.6713718729235136E-4</v>
      </c>
      <c r="T28" s="86">
        <f t="shared" si="15"/>
        <v>4.7262601231382365E-4</v>
      </c>
      <c r="U28" s="268">
        <f t="shared" si="16"/>
        <v>1.0638412639101531E-3</v>
      </c>
      <c r="V28" s="269">
        <v>138</v>
      </c>
      <c r="W28" s="269">
        <v>45</v>
      </c>
      <c r="X28" s="269">
        <v>165</v>
      </c>
      <c r="Y28" s="269">
        <v>30</v>
      </c>
      <c r="Z28" s="86">
        <f t="shared" si="17"/>
        <v>1.0853220418063782E-4</v>
      </c>
      <c r="AA28" s="86">
        <f t="shared" si="4"/>
        <v>1.5360039321700664E-4</v>
      </c>
      <c r="AB28" s="86">
        <f t="shared" si="4"/>
        <v>3.3504987166574612E-4</v>
      </c>
      <c r="AC28" s="86">
        <f t="shared" si="4"/>
        <v>5.4640827626402453E-4</v>
      </c>
      <c r="AD28" s="80">
        <f t="shared" si="18"/>
        <v>1.1435907453274151E-3</v>
      </c>
      <c r="AE28" s="270">
        <f t="shared" si="19"/>
        <v>9.7205213352830283E-4</v>
      </c>
      <c r="AF28" s="169">
        <f t="shared" si="5"/>
        <v>7.4963703818126448E-2</v>
      </c>
      <c r="AG28" s="185">
        <f t="shared" si="6"/>
        <v>0</v>
      </c>
      <c r="AH28" s="169">
        <f t="shared" si="20"/>
        <v>0</v>
      </c>
      <c r="AI28" s="81">
        <f t="shared" si="7"/>
        <v>0</v>
      </c>
      <c r="AJ28" s="230">
        <f t="shared" si="8"/>
        <v>9.7205213352830283E-4</v>
      </c>
      <c r="AL28" s="93">
        <f t="shared" si="9"/>
        <v>10214.519669140403</v>
      </c>
      <c r="AM28" s="94">
        <f t="shared" si="10"/>
        <v>159313.54600454282</v>
      </c>
      <c r="AN28" s="94">
        <f t="shared" si="21"/>
        <v>135887.00804126106</v>
      </c>
      <c r="AO28" s="94">
        <f t="shared" si="11"/>
        <v>305415.0737149443</v>
      </c>
      <c r="AP28" s="133">
        <f t="shared" si="22"/>
        <v>5.4618792902955506E-4</v>
      </c>
    </row>
    <row r="29" spans="1:42" ht="14.25">
      <c r="A29" s="7" t="s">
        <v>23</v>
      </c>
      <c r="B29" s="140">
        <v>211853</v>
      </c>
      <c r="C29" s="230">
        <f t="shared" si="0"/>
        <v>1.2621083389340406E-4</v>
      </c>
      <c r="D29" s="139"/>
      <c r="E29" s="267">
        <v>5942</v>
      </c>
      <c r="F29" s="169">
        <f t="shared" si="1"/>
        <v>1.2768998882121639E-3</v>
      </c>
      <c r="G29" s="81">
        <f t="shared" si="12"/>
        <v>1.0853649049803393E-3</v>
      </c>
      <c r="H29" s="82">
        <v>1314.52</v>
      </c>
      <c r="I29" s="169">
        <f t="shared" si="2"/>
        <v>2.0468968146129852E-2</v>
      </c>
      <c r="J29" s="83">
        <f t="shared" si="13"/>
        <v>3.0703452219194775E-3</v>
      </c>
      <c r="K29" s="230">
        <f t="shared" si="14"/>
        <v>4.155710126899817E-3</v>
      </c>
      <c r="M29" s="84">
        <v>1391</v>
      </c>
      <c r="N29" s="85">
        <v>407</v>
      </c>
      <c r="O29" s="85">
        <v>3581</v>
      </c>
      <c r="P29" s="85">
        <v>1264</v>
      </c>
      <c r="Q29" s="86">
        <f t="shared" si="15"/>
        <v>8.1342936205150277E-4</v>
      </c>
      <c r="R29" s="86">
        <f t="shared" si="15"/>
        <v>1.1567363550583768E-3</v>
      </c>
      <c r="S29" s="86">
        <f t="shared" si="15"/>
        <v>2.6796029907392442E-3</v>
      </c>
      <c r="T29" s="86">
        <f t="shared" si="15"/>
        <v>8.072963237360448E-3</v>
      </c>
      <c r="U29" s="268">
        <f t="shared" si="16"/>
        <v>1.2722731945209571E-2</v>
      </c>
      <c r="V29" s="269">
        <v>1108.99999999377</v>
      </c>
      <c r="W29" s="269">
        <v>288</v>
      </c>
      <c r="X29" s="269">
        <v>3319</v>
      </c>
      <c r="Y29" s="269">
        <v>607</v>
      </c>
      <c r="Z29" s="86">
        <f t="shared" si="17"/>
        <v>8.721899596786318E-4</v>
      </c>
      <c r="AA29" s="86">
        <f t="shared" si="4"/>
        <v>9.8304251658884239E-4</v>
      </c>
      <c r="AB29" s="86">
        <f t="shared" si="4"/>
        <v>6.739578933688554E-3</v>
      </c>
      <c r="AC29" s="86">
        <f t="shared" si="4"/>
        <v>1.1055660789742095E-2</v>
      </c>
      <c r="AD29" s="80">
        <f t="shared" si="18"/>
        <v>1.9650472199698121E-2</v>
      </c>
      <c r="AE29" s="270">
        <f t="shared" si="19"/>
        <v>1.6702901369743402E-2</v>
      </c>
      <c r="AF29" s="169">
        <f t="shared" si="5"/>
        <v>0.54451671891877107</v>
      </c>
      <c r="AG29" s="185">
        <f t="shared" si="6"/>
        <v>0</v>
      </c>
      <c r="AH29" s="169">
        <f t="shared" si="20"/>
        <v>0</v>
      </c>
      <c r="AI29" s="81">
        <f t="shared" si="7"/>
        <v>0</v>
      </c>
      <c r="AJ29" s="230">
        <f t="shared" si="8"/>
        <v>1.6702901369743402E-2</v>
      </c>
      <c r="AL29" s="93">
        <f t="shared" si="9"/>
        <v>35287.022184531626</v>
      </c>
      <c r="AM29" s="94">
        <f t="shared" si="10"/>
        <v>580943.13664169644</v>
      </c>
      <c r="AN29" s="94">
        <f t="shared" si="21"/>
        <v>2334964.5707831015</v>
      </c>
      <c r="AO29" s="94">
        <f t="shared" si="11"/>
        <v>2951194.7296093297</v>
      </c>
      <c r="AP29" s="133">
        <f t="shared" si="22"/>
        <v>5.2777582911075066E-3</v>
      </c>
    </row>
    <row r="30" spans="1:42" ht="14.25">
      <c r="A30" s="7" t="s">
        <v>24</v>
      </c>
      <c r="B30" s="140">
        <v>2038688</v>
      </c>
      <c r="C30" s="230">
        <f t="shared" si="0"/>
        <v>1.2145426901128431E-3</v>
      </c>
      <c r="D30" s="139"/>
      <c r="E30" s="267">
        <v>55213</v>
      </c>
      <c r="F30" s="169">
        <f t="shared" si="1"/>
        <v>1.1864940008054225E-2</v>
      </c>
      <c r="G30" s="81">
        <f t="shared" si="12"/>
        <v>1.0085199006846091E-2</v>
      </c>
      <c r="H30" s="82">
        <v>184.87</v>
      </c>
      <c r="I30" s="169">
        <f t="shared" si="2"/>
        <v>2.8786919492856905E-3</v>
      </c>
      <c r="J30" s="83">
        <f t="shared" si="13"/>
        <v>4.3180379239285356E-4</v>
      </c>
      <c r="K30" s="230">
        <f t="shared" si="14"/>
        <v>1.0517002799238945E-2</v>
      </c>
      <c r="M30" s="84">
        <v>870</v>
      </c>
      <c r="N30" s="85">
        <v>295</v>
      </c>
      <c r="O30" s="85">
        <v>1873</v>
      </c>
      <c r="P30" s="85">
        <v>57</v>
      </c>
      <c r="Q30" s="86">
        <f t="shared" si="15"/>
        <v>5.0875883895385148E-4</v>
      </c>
      <c r="R30" s="86">
        <f t="shared" si="15"/>
        <v>8.3842069961233702E-4</v>
      </c>
      <c r="S30" s="86">
        <f t="shared" si="15"/>
        <v>1.4015348789876024E-3</v>
      </c>
      <c r="T30" s="86">
        <f t="shared" si="15"/>
        <v>3.6404976624172905E-4</v>
      </c>
      <c r="U30" s="268">
        <f t="shared" si="16"/>
        <v>3.1127641837955201E-3</v>
      </c>
      <c r="V30" s="269">
        <v>2629.9999999954803</v>
      </c>
      <c r="W30" s="269">
        <v>513</v>
      </c>
      <c r="X30" s="269">
        <v>350</v>
      </c>
      <c r="Y30" s="269">
        <v>123</v>
      </c>
      <c r="Z30" s="86">
        <f t="shared" si="17"/>
        <v>2.0684036014100501E-3</v>
      </c>
      <c r="AA30" s="86">
        <f t="shared" si="4"/>
        <v>1.7510444826738757E-3</v>
      </c>
      <c r="AB30" s="86">
        <f t="shared" si="4"/>
        <v>7.1071184898794629E-4</v>
      </c>
      <c r="AC30" s="86">
        <f t="shared" si="4"/>
        <v>2.2402739326825003E-3</v>
      </c>
      <c r="AD30" s="80">
        <f t="shared" si="18"/>
        <v>6.770433865754372E-3</v>
      </c>
      <c r="AE30" s="270">
        <f t="shared" si="19"/>
        <v>5.7548687858912165E-3</v>
      </c>
      <c r="AF30" s="169">
        <f t="shared" si="5"/>
        <v>1.1750551811794834</v>
      </c>
      <c r="AG30" s="185">
        <f t="shared" si="6"/>
        <v>0</v>
      </c>
      <c r="AH30" s="169">
        <f t="shared" si="20"/>
        <v>0</v>
      </c>
      <c r="AI30" s="81">
        <f t="shared" si="7"/>
        <v>0</v>
      </c>
      <c r="AJ30" s="230">
        <f t="shared" si="8"/>
        <v>5.7548687858912165E-3</v>
      </c>
      <c r="AL30" s="93">
        <f t="shared" si="9"/>
        <v>339571.44191178982</v>
      </c>
      <c r="AM30" s="94">
        <f t="shared" si="10"/>
        <v>1470213.3709256824</v>
      </c>
      <c r="AN30" s="94">
        <f t="shared" si="21"/>
        <v>804495.84339298448</v>
      </c>
      <c r="AO30" s="94">
        <f t="shared" si="11"/>
        <v>2614280.6562304567</v>
      </c>
      <c r="AP30" s="133">
        <f t="shared" si="22"/>
        <v>4.6752392413389621E-3</v>
      </c>
    </row>
    <row r="31" spans="1:42" ht="14.25">
      <c r="A31" s="7" t="s">
        <v>25</v>
      </c>
      <c r="B31" s="140">
        <v>172373037.01000002</v>
      </c>
      <c r="C31" s="230">
        <f t="shared" si="0"/>
        <v>0.10269075605146352</v>
      </c>
      <c r="D31" s="139"/>
      <c r="E31" s="267">
        <v>678006</v>
      </c>
      <c r="F31" s="169">
        <f t="shared" si="1"/>
        <v>0.14569939172116736</v>
      </c>
      <c r="G31" s="81">
        <f t="shared" si="12"/>
        <v>0.12384448296299225</v>
      </c>
      <c r="H31" s="82">
        <v>117.79</v>
      </c>
      <c r="I31" s="169">
        <f t="shared" si="2"/>
        <v>1.8341598134167874E-3</v>
      </c>
      <c r="J31" s="83">
        <f t="shared" si="13"/>
        <v>2.7512397201251811E-4</v>
      </c>
      <c r="K31" s="230">
        <f t="shared" si="14"/>
        <v>0.12411960693500476</v>
      </c>
      <c r="M31" s="84">
        <v>69698</v>
      </c>
      <c r="N31" s="85">
        <v>12447</v>
      </c>
      <c r="O31" s="85">
        <v>14729</v>
      </c>
      <c r="P31" s="85">
        <v>1417</v>
      </c>
      <c r="Q31" s="86">
        <f t="shared" si="15"/>
        <v>4.0758015583224762E-2</v>
      </c>
      <c r="R31" s="86">
        <f t="shared" si="15"/>
        <v>3.5375669315507653E-2</v>
      </c>
      <c r="S31" s="86">
        <f t="shared" si="15"/>
        <v>1.1021466755263425E-2</v>
      </c>
      <c r="T31" s="86">
        <f t="shared" si="15"/>
        <v>9.0501494520092984E-3</v>
      </c>
      <c r="U31" s="268">
        <f t="shared" si="16"/>
        <v>9.6205301106005142E-2</v>
      </c>
      <c r="V31" s="269">
        <v>32769.999999791457</v>
      </c>
      <c r="W31" s="269">
        <v>9468</v>
      </c>
      <c r="X31" s="269">
        <v>3881</v>
      </c>
      <c r="Y31" s="269">
        <v>299</v>
      </c>
      <c r="Z31" s="86">
        <f t="shared" si="17"/>
        <v>2.5772466166499041E-2</v>
      </c>
      <c r="AA31" s="86">
        <f t="shared" si="4"/>
        <v>3.2317522732858199E-2</v>
      </c>
      <c r="AB31" s="86">
        <f t="shared" si="4"/>
        <v>7.8807791026349137E-3</v>
      </c>
      <c r="AC31" s="86">
        <f t="shared" si="4"/>
        <v>5.4458691534314436E-3</v>
      </c>
      <c r="AD31" s="80">
        <f t="shared" si="18"/>
        <v>7.1416637155423596E-2</v>
      </c>
      <c r="AE31" s="270">
        <f t="shared" si="19"/>
        <v>6.0704141582110058E-2</v>
      </c>
      <c r="AF31" s="169">
        <f t="shared" si="5"/>
        <v>-0.25766422084441909</v>
      </c>
      <c r="AG31" s="185">
        <f t="shared" si="6"/>
        <v>-0.25766422084441909</v>
      </c>
      <c r="AH31" s="169">
        <f t="shared" si="20"/>
        <v>4.80132597732017E-2</v>
      </c>
      <c r="AI31" s="81">
        <f t="shared" si="7"/>
        <v>7.2019889659802544E-3</v>
      </c>
      <c r="AJ31" s="230">
        <f t="shared" si="8"/>
        <v>6.7906130548090318E-2</v>
      </c>
      <c r="AL31" s="93">
        <f t="shared" si="9"/>
        <v>28711092.979504474</v>
      </c>
      <c r="AM31" s="94">
        <f t="shared" si="10"/>
        <v>17351170.213921521</v>
      </c>
      <c r="AN31" s="94">
        <f t="shared" si="21"/>
        <v>9492866.266694529</v>
      </c>
      <c r="AO31" s="94">
        <f t="shared" si="11"/>
        <v>55555129.460120529</v>
      </c>
      <c r="AP31" s="133">
        <f t="shared" si="22"/>
        <v>9.9351812396505534E-2</v>
      </c>
    </row>
    <row r="32" spans="1:42" ht="14.25">
      <c r="A32" s="7" t="s">
        <v>26</v>
      </c>
      <c r="B32" s="140">
        <v>128833</v>
      </c>
      <c r="C32" s="230">
        <f t="shared" si="0"/>
        <v>7.6751900435627181E-5</v>
      </c>
      <c r="D32" s="139"/>
      <c r="E32" s="267">
        <v>2030</v>
      </c>
      <c r="F32" s="169">
        <f t="shared" si="1"/>
        <v>4.3623473124717146E-4</v>
      </c>
      <c r="G32" s="81">
        <f t="shared" si="12"/>
        <v>3.7079952156009573E-4</v>
      </c>
      <c r="H32" s="82">
        <v>497.27</v>
      </c>
      <c r="I32" s="169">
        <f t="shared" si="2"/>
        <v>7.743209528973307E-3</v>
      </c>
      <c r="J32" s="83">
        <f t="shared" si="13"/>
        <v>1.1614814293459961E-3</v>
      </c>
      <c r="K32" s="230">
        <f t="shared" si="14"/>
        <v>1.5322809509060917E-3</v>
      </c>
      <c r="M32" s="84">
        <v>525</v>
      </c>
      <c r="N32" s="85">
        <v>111</v>
      </c>
      <c r="O32" s="85">
        <v>654</v>
      </c>
      <c r="P32" s="85">
        <v>69</v>
      </c>
      <c r="Q32" s="86">
        <f t="shared" si="15"/>
        <v>3.070096441962897E-4</v>
      </c>
      <c r="R32" s="86">
        <f t="shared" si="15"/>
        <v>3.1547355137955733E-4</v>
      </c>
      <c r="S32" s="86">
        <f t="shared" si="15"/>
        <v>4.8937736831708065E-4</v>
      </c>
      <c r="T32" s="86">
        <f t="shared" si="15"/>
        <v>4.4069182229261936E-4</v>
      </c>
      <c r="U32" s="268">
        <f t="shared" si="16"/>
        <v>1.5525523861855471E-3</v>
      </c>
      <c r="V32" s="269">
        <v>374.99999999594002</v>
      </c>
      <c r="W32" s="269">
        <v>98</v>
      </c>
      <c r="X32" s="269">
        <v>163</v>
      </c>
      <c r="Y32" s="269">
        <v>24</v>
      </c>
      <c r="Z32" s="86">
        <f t="shared" si="17"/>
        <v>2.9492446787897499E-4</v>
      </c>
      <c r="AA32" s="86">
        <f t="shared" si="4"/>
        <v>3.3450752300592557E-4</v>
      </c>
      <c r="AB32" s="86">
        <f t="shared" si="4"/>
        <v>3.3098866110010071E-4</v>
      </c>
      <c r="AC32" s="86">
        <f t="shared" si="4"/>
        <v>4.3712662101121958E-4</v>
      </c>
      <c r="AD32" s="80">
        <f t="shared" si="18"/>
        <v>1.397547272996221E-3</v>
      </c>
      <c r="AE32" s="270">
        <f t="shared" si="19"/>
        <v>1.1879151820467877E-3</v>
      </c>
      <c r="AF32" s="169">
        <f t="shared" si="5"/>
        <v>-9.983889404862975E-2</v>
      </c>
      <c r="AG32" s="185">
        <f t="shared" si="6"/>
        <v>-9.983889404862975E-2</v>
      </c>
      <c r="AH32" s="169">
        <f t="shared" si="20"/>
        <v>1.8604021698148197E-2</v>
      </c>
      <c r="AI32" s="81">
        <f t="shared" si="7"/>
        <v>2.7906032547222294E-3</v>
      </c>
      <c r="AJ32" s="230">
        <f t="shared" si="8"/>
        <v>3.9785184367690171E-3</v>
      </c>
      <c r="AL32" s="93">
        <f t="shared" si="9"/>
        <v>21458.902772676163</v>
      </c>
      <c r="AM32" s="94">
        <f t="shared" si="10"/>
        <v>214203.60772366397</v>
      </c>
      <c r="AN32" s="94">
        <f t="shared" si="21"/>
        <v>556172.8102454656</v>
      </c>
      <c r="AO32" s="94">
        <f t="shared" si="11"/>
        <v>791835.32074180571</v>
      </c>
      <c r="AP32" s="133">
        <f t="shared" si="22"/>
        <v>1.4160757971365908E-3</v>
      </c>
    </row>
    <row r="33" spans="1:42" ht="14.25">
      <c r="A33" s="7" t="s">
        <v>27</v>
      </c>
      <c r="B33" s="140">
        <v>1830297</v>
      </c>
      <c r="C33" s="230">
        <f t="shared" si="0"/>
        <v>1.0903943330639442E-3</v>
      </c>
      <c r="D33" s="139"/>
      <c r="E33" s="267">
        <v>16604</v>
      </c>
      <c r="F33" s="169">
        <f t="shared" si="1"/>
        <v>3.5680992500630713E-3</v>
      </c>
      <c r="G33" s="81">
        <f t="shared" si="12"/>
        <v>3.0328843625536104E-3</v>
      </c>
      <c r="H33" s="82">
        <v>170.12</v>
      </c>
      <c r="I33" s="169">
        <f t="shared" si="2"/>
        <v>2.6490132223318096E-3</v>
      </c>
      <c r="J33" s="83">
        <f t="shared" si="13"/>
        <v>3.9735198334977145E-4</v>
      </c>
      <c r="K33" s="230">
        <f t="shared" si="14"/>
        <v>3.430236345903382E-3</v>
      </c>
      <c r="M33" s="84">
        <v>1777</v>
      </c>
      <c r="N33" s="85">
        <v>482</v>
      </c>
      <c r="O33" s="85">
        <v>1571</v>
      </c>
      <c r="P33" s="85">
        <v>193</v>
      </c>
      <c r="Q33" s="86">
        <f t="shared" si="15"/>
        <v>1.0391545480701082E-3</v>
      </c>
      <c r="R33" s="86">
        <f t="shared" si="15"/>
        <v>1.3698941600445642E-3</v>
      </c>
      <c r="S33" s="86">
        <f t="shared" si="15"/>
        <v>1.1755532807739047E-3</v>
      </c>
      <c r="T33" s="86">
        <f t="shared" si="15"/>
        <v>1.2326597348184861E-3</v>
      </c>
      <c r="U33" s="268">
        <f t="shared" si="16"/>
        <v>4.8172617237070628E-3</v>
      </c>
      <c r="V33" s="269">
        <v>887.9999999826681</v>
      </c>
      <c r="W33" s="269">
        <v>349</v>
      </c>
      <c r="X33" s="269">
        <v>145</v>
      </c>
      <c r="Y33" s="269">
        <v>79</v>
      </c>
      <c r="Z33" s="86">
        <f t="shared" si="17"/>
        <v>6.9838113993134286E-4</v>
      </c>
      <c r="AA33" s="86">
        <f t="shared" si="4"/>
        <v>1.1912563829496736E-3</v>
      </c>
      <c r="AB33" s="86">
        <f t="shared" si="4"/>
        <v>2.9443776600929206E-4</v>
      </c>
      <c r="AC33" s="86">
        <f t="shared" si="4"/>
        <v>1.4388751274952644E-3</v>
      </c>
      <c r="AD33" s="80">
        <f t="shared" si="18"/>
        <v>3.6229504163855729E-3</v>
      </c>
      <c r="AE33" s="270">
        <f t="shared" si="19"/>
        <v>3.0795078539277371E-3</v>
      </c>
      <c r="AF33" s="169">
        <f t="shared" si="5"/>
        <v>-0.24792327588180588</v>
      </c>
      <c r="AG33" s="185">
        <f t="shared" si="6"/>
        <v>-0.24792327588180588</v>
      </c>
      <c r="AH33" s="169">
        <f t="shared" si="20"/>
        <v>4.6198127973397771E-2</v>
      </c>
      <c r="AI33" s="81">
        <f t="shared" si="7"/>
        <v>6.9297191960096651E-3</v>
      </c>
      <c r="AJ33" s="230">
        <f t="shared" si="8"/>
        <v>1.0009227049937402E-2</v>
      </c>
      <c r="AL33" s="93">
        <f t="shared" si="9"/>
        <v>304861.06329993764</v>
      </c>
      <c r="AM33" s="94">
        <f t="shared" si="10"/>
        <v>479526.29066023941</v>
      </c>
      <c r="AN33" s="94">
        <f t="shared" si="21"/>
        <v>1399229.3928564782</v>
      </c>
      <c r="AO33" s="94">
        <f t="shared" si="11"/>
        <v>2183616.7468166552</v>
      </c>
      <c r="AP33" s="133">
        <f t="shared" si="22"/>
        <v>3.9050630154921682E-3</v>
      </c>
    </row>
    <row r="34" spans="1:42" ht="14.25">
      <c r="A34" s="7" t="s">
        <v>28</v>
      </c>
      <c r="B34" s="140">
        <v>150754</v>
      </c>
      <c r="C34" s="230">
        <f t="shared" si="0"/>
        <v>8.981127504810522E-5</v>
      </c>
      <c r="D34" s="139"/>
      <c r="E34" s="267">
        <v>1594</v>
      </c>
      <c r="F34" s="169">
        <f t="shared" si="1"/>
        <v>3.425409663093553E-4</v>
      </c>
      <c r="G34" s="81">
        <f t="shared" si="12"/>
        <v>2.9115982136295197E-4</v>
      </c>
      <c r="H34" s="82">
        <v>444.11</v>
      </c>
      <c r="I34" s="169">
        <f t="shared" si="2"/>
        <v>6.9154318255924057E-3</v>
      </c>
      <c r="J34" s="83">
        <f t="shared" si="13"/>
        <v>1.0373147738388607E-3</v>
      </c>
      <c r="K34" s="230">
        <f t="shared" si="14"/>
        <v>1.3284745952018128E-3</v>
      </c>
      <c r="M34" s="84">
        <v>236</v>
      </c>
      <c r="N34" s="85">
        <v>70</v>
      </c>
      <c r="O34" s="85">
        <v>392</v>
      </c>
      <c r="P34" s="85">
        <v>106</v>
      </c>
      <c r="Q34" s="86">
        <f t="shared" si="15"/>
        <v>1.3800814481966547E-4</v>
      </c>
      <c r="R34" s="86">
        <f t="shared" si="15"/>
        <v>1.9894728465377488E-4</v>
      </c>
      <c r="S34" s="86">
        <f t="shared" si="15"/>
        <v>2.9332710761513091E-4</v>
      </c>
      <c r="T34" s="86">
        <f t="shared" si="15"/>
        <v>6.7700482844953124E-4</v>
      </c>
      <c r="U34" s="268">
        <f t="shared" si="16"/>
        <v>1.3072873655381025E-3</v>
      </c>
      <c r="V34" s="269">
        <v>156.00000000186</v>
      </c>
      <c r="W34" s="269">
        <v>60</v>
      </c>
      <c r="X34" s="269">
        <v>117</v>
      </c>
      <c r="Y34" s="269">
        <v>25</v>
      </c>
      <c r="Z34" s="86">
        <f t="shared" si="17"/>
        <v>1.2268857864044472E-4</v>
      </c>
      <c r="AA34" s="86">
        <f t="shared" si="4"/>
        <v>2.0480052428934218E-4</v>
      </c>
      <c r="AB34" s="86">
        <f t="shared" si="4"/>
        <v>2.3758081809025633E-4</v>
      </c>
      <c r="AC34" s="86">
        <f t="shared" si="4"/>
        <v>4.5534023022002039E-4</v>
      </c>
      <c r="AD34" s="80">
        <f t="shared" si="18"/>
        <v>1.0204101512400637E-3</v>
      </c>
      <c r="AE34" s="270">
        <f t="shared" si="19"/>
        <v>8.6734862855405406E-4</v>
      </c>
      <c r="AF34" s="169">
        <f t="shared" si="5"/>
        <v>-0.21944464687758616</v>
      </c>
      <c r="AG34" s="185">
        <f t="shared" si="6"/>
        <v>-0.21944464687758616</v>
      </c>
      <c r="AH34" s="169">
        <f t="shared" si="20"/>
        <v>4.0891408212760681E-2</v>
      </c>
      <c r="AI34" s="81">
        <f t="shared" si="7"/>
        <v>6.1337112319141017E-3</v>
      </c>
      <c r="AJ34" s="230">
        <f t="shared" si="8"/>
        <v>7.0010598604681555E-3</v>
      </c>
      <c r="AL34" s="93">
        <f t="shared" si="9"/>
        <v>25110.145914416509</v>
      </c>
      <c r="AM34" s="94">
        <f t="shared" si="10"/>
        <v>185712.71208011147</v>
      </c>
      <c r="AN34" s="94">
        <f t="shared" si="21"/>
        <v>978705.81704668014</v>
      </c>
      <c r="AO34" s="94">
        <f t="shared" si="11"/>
        <v>1189528.675041208</v>
      </c>
      <c r="AP34" s="133">
        <f t="shared" si="22"/>
        <v>2.1272892514415448E-3</v>
      </c>
    </row>
    <row r="35" spans="1:42" ht="14.25">
      <c r="A35" s="7" t="s">
        <v>29</v>
      </c>
      <c r="B35" s="140">
        <v>403529</v>
      </c>
      <c r="C35" s="230">
        <f t="shared" si="0"/>
        <v>2.4040127631032578E-4</v>
      </c>
      <c r="D35" s="139"/>
      <c r="E35" s="267">
        <v>6914</v>
      </c>
      <c r="F35" s="169">
        <f t="shared" si="1"/>
        <v>1.4857768137157357E-3</v>
      </c>
      <c r="G35" s="81">
        <f t="shared" si="12"/>
        <v>1.2629102916583753E-3</v>
      </c>
      <c r="H35" s="82">
        <v>127.8</v>
      </c>
      <c r="I35" s="169">
        <f t="shared" si="2"/>
        <v>1.990029918963116E-3</v>
      </c>
      <c r="J35" s="83">
        <f t="shared" si="13"/>
        <v>2.9850448784446741E-4</v>
      </c>
      <c r="K35" s="230">
        <f t="shared" si="14"/>
        <v>1.5614147795028426E-3</v>
      </c>
      <c r="M35" s="84">
        <v>1201</v>
      </c>
      <c r="N35" s="85">
        <v>234</v>
      </c>
      <c r="O35" s="85">
        <v>2745</v>
      </c>
      <c r="P35" s="85">
        <v>176</v>
      </c>
      <c r="Q35" s="86">
        <f t="shared" si="15"/>
        <v>7.0232110986617887E-4</v>
      </c>
      <c r="R35" s="86">
        <f t="shared" si="15"/>
        <v>6.6505235155690464E-4</v>
      </c>
      <c r="S35" s="86">
        <f t="shared" si="15"/>
        <v>2.0540380367437099E-3</v>
      </c>
      <c r="T35" s="86">
        <f t="shared" si="15"/>
        <v>1.1240834887463913E-3</v>
      </c>
      <c r="U35" s="268">
        <f t="shared" si="16"/>
        <v>4.5454949869131846E-3</v>
      </c>
      <c r="V35" s="269">
        <v>649.99999999475995</v>
      </c>
      <c r="W35" s="269">
        <v>185</v>
      </c>
      <c r="X35" s="269">
        <v>941</v>
      </c>
      <c r="Y35" s="269">
        <v>42</v>
      </c>
      <c r="Z35" s="86">
        <f t="shared" si="17"/>
        <v>5.1120241099163676E-4</v>
      </c>
      <c r="AA35" s="86">
        <f t="shared" si="4"/>
        <v>6.3146828322547177E-4</v>
      </c>
      <c r="AB35" s="86">
        <f t="shared" si="4"/>
        <v>1.9107995711361643E-3</v>
      </c>
      <c r="AC35" s="86">
        <f t="shared" si="4"/>
        <v>7.6497158676963432E-4</v>
      </c>
      <c r="AD35" s="80">
        <f t="shared" si="18"/>
        <v>3.8184418521229071E-3</v>
      </c>
      <c r="AE35" s="270">
        <f t="shared" si="19"/>
        <v>3.2456755743044711E-3</v>
      </c>
      <c r="AF35" s="169">
        <f t="shared" si="5"/>
        <v>-0.15995026655700142</v>
      </c>
      <c r="AG35" s="185">
        <f t="shared" si="6"/>
        <v>-0.15995026655700142</v>
      </c>
      <c r="AH35" s="169">
        <f t="shared" si="20"/>
        <v>2.9805200247927655E-2</v>
      </c>
      <c r="AI35" s="81">
        <f t="shared" si="7"/>
        <v>4.4707800371891482E-3</v>
      </c>
      <c r="AJ35" s="230">
        <f t="shared" si="8"/>
        <v>7.7164556114936193E-3</v>
      </c>
      <c r="AL35" s="93">
        <f t="shared" si="9"/>
        <v>67213.288341925116</v>
      </c>
      <c r="AM35" s="94">
        <f t="shared" si="10"/>
        <v>218276.34072248943</v>
      </c>
      <c r="AN35" s="94">
        <f t="shared" si="21"/>
        <v>1078713.815403129</v>
      </c>
      <c r="AO35" s="94">
        <f t="shared" si="11"/>
        <v>1364203.4444675436</v>
      </c>
      <c r="AP35" s="133">
        <f t="shared" si="22"/>
        <v>2.4396682359042786E-3</v>
      </c>
    </row>
    <row r="36" spans="1:42" ht="14.25">
      <c r="A36" s="7" t="s">
        <v>30</v>
      </c>
      <c r="B36" s="140">
        <v>106600.57</v>
      </c>
      <c r="C36" s="230">
        <f t="shared" si="0"/>
        <v>6.3506992269225321E-5</v>
      </c>
      <c r="D36" s="139"/>
      <c r="E36" s="267">
        <v>3558</v>
      </c>
      <c r="F36" s="169">
        <f t="shared" si="1"/>
        <v>7.6459269644208675E-4</v>
      </c>
      <c r="G36" s="81">
        <f t="shared" si="12"/>
        <v>6.4990379197577377E-4</v>
      </c>
      <c r="H36" s="82">
        <v>561.88</v>
      </c>
      <c r="I36" s="169">
        <f t="shared" si="2"/>
        <v>8.7492802102268827E-3</v>
      </c>
      <c r="J36" s="83">
        <f t="shared" si="13"/>
        <v>1.3123920315340324E-3</v>
      </c>
      <c r="K36" s="230">
        <f t="shared" si="14"/>
        <v>1.9622958235098061E-3</v>
      </c>
      <c r="M36" s="84">
        <v>779</v>
      </c>
      <c r="N36" s="85">
        <v>226</v>
      </c>
      <c r="O36" s="85">
        <v>2400</v>
      </c>
      <c r="P36" s="85">
        <v>462</v>
      </c>
      <c r="Q36" s="86">
        <f t="shared" si="15"/>
        <v>4.5554383395982794E-4</v>
      </c>
      <c r="R36" s="86">
        <f t="shared" si="15"/>
        <v>6.4231551902504459E-4</v>
      </c>
      <c r="S36" s="86">
        <f t="shared" si="15"/>
        <v>1.795880250704883E-3</v>
      </c>
      <c r="T36" s="86">
        <f t="shared" si="15"/>
        <v>2.9507191579592777E-3</v>
      </c>
      <c r="U36" s="268">
        <f t="shared" si="16"/>
        <v>5.8444587616490332E-3</v>
      </c>
      <c r="V36" s="269">
        <v>671.99999999645991</v>
      </c>
      <c r="W36" s="269">
        <v>188</v>
      </c>
      <c r="X36" s="269">
        <v>1437</v>
      </c>
      <c r="Y36" s="269">
        <v>355</v>
      </c>
      <c r="Z36" s="86">
        <f t="shared" si="17"/>
        <v>5.2850464644206086E-4</v>
      </c>
      <c r="AA36" s="86">
        <f t="shared" si="4"/>
        <v>6.4170830943993879E-4</v>
      </c>
      <c r="AB36" s="86">
        <f t="shared" si="4"/>
        <v>2.9179797914162253E-3</v>
      </c>
      <c r="AC36" s="86">
        <f t="shared" si="4"/>
        <v>6.4658312691242897E-3</v>
      </c>
      <c r="AD36" s="80">
        <f t="shared" si="18"/>
        <v>1.0554024016422515E-2</v>
      </c>
      <c r="AE36" s="270">
        <f t="shared" si="19"/>
        <v>8.9709204139591381E-3</v>
      </c>
      <c r="AF36" s="169">
        <f t="shared" si="5"/>
        <v>0.80581717603644487</v>
      </c>
      <c r="AG36" s="185">
        <f t="shared" si="6"/>
        <v>0</v>
      </c>
      <c r="AH36" s="169">
        <f t="shared" si="20"/>
        <v>0</v>
      </c>
      <c r="AI36" s="81">
        <f t="shared" si="7"/>
        <v>0</v>
      </c>
      <c r="AJ36" s="230">
        <f t="shared" si="8"/>
        <v>8.9709204139591381E-3</v>
      </c>
      <c r="AL36" s="93">
        <f t="shared" si="9"/>
        <v>17755.786693951544</v>
      </c>
      <c r="AM36" s="94">
        <f t="shared" si="10"/>
        <v>274317.08562866505</v>
      </c>
      <c r="AN36" s="94">
        <f t="shared" si="21"/>
        <v>1254080.4061654625</v>
      </c>
      <c r="AO36" s="94">
        <f t="shared" si="11"/>
        <v>1546153.2784880791</v>
      </c>
      <c r="AP36" s="133">
        <f t="shared" si="22"/>
        <v>2.765057555501849E-3</v>
      </c>
    </row>
    <row r="37" spans="1:42" ht="14.25">
      <c r="A37" s="7" t="s">
        <v>31</v>
      </c>
      <c r="B37" s="140">
        <v>9952825.2300000004</v>
      </c>
      <c r="C37" s="230">
        <f t="shared" si="0"/>
        <v>5.9293678724096945E-3</v>
      </c>
      <c r="D37" s="139"/>
      <c r="E37" s="267">
        <v>256970</v>
      </c>
      <c r="F37" s="169">
        <f t="shared" si="1"/>
        <v>5.5221299945116084E-2</v>
      </c>
      <c r="G37" s="81">
        <f t="shared" si="12"/>
        <v>4.6938104953348672E-2</v>
      </c>
      <c r="H37" s="82">
        <v>247</v>
      </c>
      <c r="I37" s="169">
        <f t="shared" si="2"/>
        <v>3.8461454615327825E-3</v>
      </c>
      <c r="J37" s="83">
        <f t="shared" si="13"/>
        <v>5.769218192299174E-4</v>
      </c>
      <c r="K37" s="230">
        <f t="shared" si="14"/>
        <v>4.7515026772578586E-2</v>
      </c>
      <c r="M37" s="84">
        <v>7826</v>
      </c>
      <c r="N37" s="85">
        <v>1628</v>
      </c>
      <c r="O37" s="85">
        <v>22499</v>
      </c>
      <c r="P37" s="85">
        <v>705</v>
      </c>
      <c r="Q37" s="86">
        <f t="shared" si="15"/>
        <v>4.5764904294860248E-3</v>
      </c>
      <c r="R37" s="86">
        <f t="shared" si="15"/>
        <v>4.6269454202335072E-3</v>
      </c>
      <c r="S37" s="86">
        <f t="shared" si="15"/>
        <v>1.6835629066920484E-2</v>
      </c>
      <c r="T37" s="86">
        <f t="shared" si="15"/>
        <v>4.5027207929898066E-3</v>
      </c>
      <c r="U37" s="268">
        <f t="shared" si="16"/>
        <v>3.0541785709629822E-2</v>
      </c>
      <c r="V37" s="269">
        <v>16068.000000124277</v>
      </c>
      <c r="W37" s="269">
        <v>2619</v>
      </c>
      <c r="X37" s="269">
        <v>3702</v>
      </c>
      <c r="Y37" s="269">
        <v>260</v>
      </c>
      <c r="Z37" s="86">
        <f t="shared" si="17"/>
        <v>1.2636923599912874E-2</v>
      </c>
      <c r="AA37" s="86">
        <f t="shared" si="4"/>
        <v>8.939542885229787E-3</v>
      </c>
      <c r="AB37" s="86">
        <f t="shared" si="4"/>
        <v>7.5173007570096496E-3</v>
      </c>
      <c r="AC37" s="86">
        <f t="shared" si="4"/>
        <v>4.7355383942882124E-3</v>
      </c>
      <c r="AD37" s="80">
        <f t="shared" si="18"/>
        <v>3.3829305636440522E-2</v>
      </c>
      <c r="AE37" s="270">
        <f t="shared" si="19"/>
        <v>2.8754909790974444E-2</v>
      </c>
      <c r="AF37" s="169">
        <f t="shared" si="5"/>
        <v>0.10764006918476104</v>
      </c>
      <c r="AG37" s="185">
        <f t="shared" si="6"/>
        <v>0</v>
      </c>
      <c r="AH37" s="169">
        <f t="shared" si="20"/>
        <v>0</v>
      </c>
      <c r="AI37" s="81">
        <f t="shared" si="7"/>
        <v>0</v>
      </c>
      <c r="AJ37" s="230">
        <f t="shared" si="8"/>
        <v>2.8754909790974444E-2</v>
      </c>
      <c r="AL37" s="93">
        <f t="shared" si="9"/>
        <v>1657779.5201851099</v>
      </c>
      <c r="AM37" s="94">
        <f t="shared" si="10"/>
        <v>6642313.3105937717</v>
      </c>
      <c r="AN37" s="94">
        <f t="shared" si="21"/>
        <v>4019762.4419679437</v>
      </c>
      <c r="AO37" s="94">
        <f t="shared" si="11"/>
        <v>12319855.272746826</v>
      </c>
      <c r="AP37" s="133">
        <f t="shared" si="22"/>
        <v>2.2032168077093104E-2</v>
      </c>
    </row>
    <row r="38" spans="1:42" ht="14.25">
      <c r="A38" s="7" t="s">
        <v>32</v>
      </c>
      <c r="B38" s="140">
        <v>294190</v>
      </c>
      <c r="C38" s="230">
        <f t="shared" si="0"/>
        <v>1.7526287200606336E-4</v>
      </c>
      <c r="D38" s="139"/>
      <c r="E38" s="267">
        <v>5349</v>
      </c>
      <c r="F38" s="169">
        <f t="shared" si="1"/>
        <v>1.1494677721384829E-3</v>
      </c>
      <c r="G38" s="81">
        <f t="shared" si="12"/>
        <v>9.7704760631771043E-4</v>
      </c>
      <c r="H38" s="82">
        <v>3428.68</v>
      </c>
      <c r="I38" s="169">
        <f t="shared" si="2"/>
        <v>5.3389481866591988E-2</v>
      </c>
      <c r="J38" s="83">
        <f t="shared" si="13"/>
        <v>8.0084222799887972E-3</v>
      </c>
      <c r="K38" s="230">
        <f t="shared" si="14"/>
        <v>8.9854698863065068E-3</v>
      </c>
      <c r="M38" s="84">
        <v>900</v>
      </c>
      <c r="N38" s="85">
        <v>209</v>
      </c>
      <c r="O38" s="85">
        <v>2198</v>
      </c>
      <c r="P38" s="85">
        <v>203</v>
      </c>
      <c r="Q38" s="86">
        <f t="shared" si="15"/>
        <v>5.2630224719363945E-4</v>
      </c>
      <c r="R38" s="86">
        <f t="shared" si="15"/>
        <v>5.9399974989484219E-4</v>
      </c>
      <c r="S38" s="86">
        <f t="shared" si="15"/>
        <v>1.6447269962705554E-3</v>
      </c>
      <c r="T38" s="86">
        <f t="shared" si="15"/>
        <v>1.2965281148608946E-3</v>
      </c>
      <c r="U38" s="268">
        <f t="shared" si="16"/>
        <v>4.0615571082199316E-3</v>
      </c>
      <c r="V38" s="269">
        <v>711.99999999240003</v>
      </c>
      <c r="W38" s="269">
        <v>170</v>
      </c>
      <c r="X38" s="269">
        <v>749</v>
      </c>
      <c r="Y38" s="269">
        <v>32</v>
      </c>
      <c r="Z38" s="86">
        <f t="shared" si="17"/>
        <v>5.5996325634629924E-4</v>
      </c>
      <c r="AA38" s="86">
        <f t="shared" si="4"/>
        <v>5.8026815215313622E-4</v>
      </c>
      <c r="AB38" s="86">
        <f t="shared" si="4"/>
        <v>1.5209233568342052E-3</v>
      </c>
      <c r="AC38" s="86">
        <f t="shared" si="4"/>
        <v>5.8283549468162615E-4</v>
      </c>
      <c r="AD38" s="80">
        <f t="shared" si="18"/>
        <v>3.2439902600152671E-3</v>
      </c>
      <c r="AE38" s="270">
        <f t="shared" si="19"/>
        <v>2.7573917210129768E-3</v>
      </c>
      <c r="AF38" s="169">
        <f t="shared" si="5"/>
        <v>-0.20129394378083273</v>
      </c>
      <c r="AG38" s="185">
        <f t="shared" si="6"/>
        <v>-0.20129394378083273</v>
      </c>
      <c r="AH38" s="169">
        <f t="shared" si="20"/>
        <v>3.7509198529186154E-2</v>
      </c>
      <c r="AI38" s="81">
        <f t="shared" si="7"/>
        <v>5.6263797793779232E-3</v>
      </c>
      <c r="AJ38" s="230">
        <f t="shared" si="8"/>
        <v>8.3837715003909005E-3</v>
      </c>
      <c r="AL38" s="93">
        <f t="shared" si="9"/>
        <v>49001.378580748722</v>
      </c>
      <c r="AM38" s="94">
        <f t="shared" si="10"/>
        <v>1256114.3343856358</v>
      </c>
      <c r="AN38" s="94">
        <f t="shared" si="21"/>
        <v>1172000.5398831242</v>
      </c>
      <c r="AO38" s="94">
        <f t="shared" si="11"/>
        <v>2477116.252849509</v>
      </c>
      <c r="AP38" s="133">
        <f t="shared" si="22"/>
        <v>4.4299417826773844E-3</v>
      </c>
    </row>
    <row r="39" spans="1:42" ht="14.25">
      <c r="A39" s="7" t="s">
        <v>33</v>
      </c>
      <c r="B39" s="140">
        <v>7303826.9700000007</v>
      </c>
      <c r="C39" s="230">
        <f t="shared" ref="C39:C58" si="23">(B39/B$58)</f>
        <v>4.3512345470530737E-3</v>
      </c>
      <c r="D39" s="139"/>
      <c r="E39" s="267">
        <v>78669</v>
      </c>
      <c r="F39" s="169">
        <f t="shared" si="1"/>
        <v>1.6905492646543709E-2</v>
      </c>
      <c r="G39" s="81">
        <f t="shared" si="12"/>
        <v>1.4369668749562152E-2</v>
      </c>
      <c r="H39" s="82">
        <v>2539.67</v>
      </c>
      <c r="I39" s="169">
        <f t="shared" si="2"/>
        <v>3.9546316778505917E-2</v>
      </c>
      <c r="J39" s="83">
        <f t="shared" si="13"/>
        <v>5.9319475167758876E-3</v>
      </c>
      <c r="K39" s="230">
        <f t="shared" si="14"/>
        <v>2.030161626633804E-2</v>
      </c>
      <c r="M39" s="84">
        <v>12929</v>
      </c>
      <c r="N39" s="85">
        <v>2053</v>
      </c>
      <c r="O39" s="85">
        <v>23315</v>
      </c>
      <c r="P39" s="85">
        <v>2592</v>
      </c>
      <c r="Q39" s="86">
        <f t="shared" si="15"/>
        <v>7.5606241710739607E-3</v>
      </c>
      <c r="R39" s="86">
        <f t="shared" si="15"/>
        <v>5.8348396484885689E-3</v>
      </c>
      <c r="S39" s="86">
        <f t="shared" si="15"/>
        <v>1.7446228352160146E-2</v>
      </c>
      <c r="T39" s="86">
        <f t="shared" si="15"/>
        <v>1.6554684106992311E-2</v>
      </c>
      <c r="U39" s="268">
        <f t="shared" si="16"/>
        <v>4.7396376278714986E-2</v>
      </c>
      <c r="V39" s="269">
        <v>10671.999999957041</v>
      </c>
      <c r="W39" s="269">
        <v>1702</v>
      </c>
      <c r="X39" s="269">
        <v>11424</v>
      </c>
      <c r="Y39" s="269">
        <v>888</v>
      </c>
      <c r="Z39" s="86">
        <f t="shared" si="17"/>
        <v>8.3931571232688726E-3</v>
      </c>
      <c r="AA39" s="86">
        <f t="shared" si="4"/>
        <v>5.8095082056743401E-3</v>
      </c>
      <c r="AB39" s="86">
        <f t="shared" si="4"/>
        <v>2.3197634750966568E-2</v>
      </c>
      <c r="AC39" s="86">
        <f t="shared" si="4"/>
        <v>1.6173684977415125E-2</v>
      </c>
      <c r="AD39" s="80">
        <f t="shared" si="18"/>
        <v>5.3573985057324913E-2</v>
      </c>
      <c r="AE39" s="270">
        <f t="shared" si="19"/>
        <v>4.5537887298726175E-2</v>
      </c>
      <c r="AF39" s="169">
        <f t="shared" si="5"/>
        <v>0.13033926353952507</v>
      </c>
      <c r="AG39" s="185">
        <f t="shared" si="6"/>
        <v>0</v>
      </c>
      <c r="AH39" s="169">
        <f t="shared" si="20"/>
        <v>0</v>
      </c>
      <c r="AI39" s="81">
        <f t="shared" ref="AI39:AI57" si="24">+AH39*AI$3</f>
        <v>0</v>
      </c>
      <c r="AJ39" s="230">
        <f t="shared" ref="AJ39:AJ57" si="25">+AI39+AE39</f>
        <v>4.5537887298726175E-2</v>
      </c>
      <c r="AL39" s="93">
        <f t="shared" ref="AL39:AL57" si="26">+C39*AL$5</f>
        <v>1216552.5355901048</v>
      </c>
      <c r="AM39" s="94">
        <f t="shared" ref="AM39:AM57" si="27">+K39*AM$5</f>
        <v>2838043.1436542375</v>
      </c>
      <c r="AN39" s="94">
        <f t="shared" si="21"/>
        <v>6365921.1724407673</v>
      </c>
      <c r="AO39" s="94">
        <f t="shared" si="11"/>
        <v>10420516.85168511</v>
      </c>
      <c r="AP39" s="133">
        <f t="shared" si="22"/>
        <v>1.8635493164792592E-2</v>
      </c>
    </row>
    <row r="40" spans="1:42" ht="14.25">
      <c r="A40" s="7" t="s">
        <v>34</v>
      </c>
      <c r="B40" s="140">
        <v>452451</v>
      </c>
      <c r="C40" s="230">
        <f t="shared" si="23"/>
        <v>2.6954642136719592E-4</v>
      </c>
      <c r="D40" s="139"/>
      <c r="E40" s="267">
        <v>5488</v>
      </c>
      <c r="F40" s="169">
        <f t="shared" si="1"/>
        <v>1.1793380320613187E-3</v>
      </c>
      <c r="G40" s="81">
        <f t="shared" si="12"/>
        <v>1.0024373272521209E-3</v>
      </c>
      <c r="H40" s="82">
        <v>264.23</v>
      </c>
      <c r="I40" s="169">
        <f t="shared" si="2"/>
        <v>4.114441357493147E-3</v>
      </c>
      <c r="J40" s="83">
        <f t="shared" si="13"/>
        <v>6.1716620362397201E-4</v>
      </c>
      <c r="K40" s="230">
        <f t="shared" si="14"/>
        <v>1.6196035308760929E-3</v>
      </c>
      <c r="M40" s="84">
        <v>549</v>
      </c>
      <c r="N40" s="85">
        <v>170</v>
      </c>
      <c r="O40" s="85">
        <v>368</v>
      </c>
      <c r="P40" s="85">
        <v>141</v>
      </c>
      <c r="Q40" s="86">
        <f t="shared" si="15"/>
        <v>3.2104437078812008E-4</v>
      </c>
      <c r="R40" s="86">
        <f t="shared" si="15"/>
        <v>4.8315769130202469E-4</v>
      </c>
      <c r="S40" s="86">
        <f t="shared" si="15"/>
        <v>2.7536830510808204E-4</v>
      </c>
      <c r="T40" s="86">
        <f t="shared" si="15"/>
        <v>9.0054415859796135E-4</v>
      </c>
      <c r="U40" s="268">
        <f t="shared" si="16"/>
        <v>1.9801145257961881E-3</v>
      </c>
      <c r="V40" s="269">
        <v>273.99999999933596</v>
      </c>
      <c r="W40" s="269">
        <v>118</v>
      </c>
      <c r="X40" s="269">
        <v>143</v>
      </c>
      <c r="Y40" s="269">
        <v>8</v>
      </c>
      <c r="Z40" s="86">
        <f t="shared" si="17"/>
        <v>2.1549147786538184E-4</v>
      </c>
      <c r="AA40" s="86">
        <f t="shared" si="4"/>
        <v>4.0277436443570628E-4</v>
      </c>
      <c r="AB40" s="86">
        <f t="shared" si="4"/>
        <v>2.9037655544364666E-4</v>
      </c>
      <c r="AC40" s="86">
        <f t="shared" si="4"/>
        <v>1.4570887367040654E-4</v>
      </c>
      <c r="AD40" s="80">
        <f t="shared" si="18"/>
        <v>1.0543512714151413E-3</v>
      </c>
      <c r="AE40" s="270">
        <f t="shared" si="19"/>
        <v>8.9619858070287008E-4</v>
      </c>
      <c r="AF40" s="169">
        <f t="shared" si="5"/>
        <v>-0.46753015662505931</v>
      </c>
      <c r="AG40" s="185">
        <f t="shared" si="6"/>
        <v>-0.46753015662505931</v>
      </c>
      <c r="AH40" s="169">
        <f t="shared" si="20"/>
        <v>8.7119766913229382E-2</v>
      </c>
      <c r="AI40" s="81">
        <f t="shared" si="24"/>
        <v>1.3067965036984408E-2</v>
      </c>
      <c r="AJ40" s="230">
        <f t="shared" si="25"/>
        <v>1.3964163617687278E-2</v>
      </c>
      <c r="AL40" s="93">
        <f t="shared" si="26"/>
        <v>75361.918284912259</v>
      </c>
      <c r="AM40" s="94">
        <f t="shared" si="27"/>
        <v>226410.77616379346</v>
      </c>
      <c r="AN40" s="94">
        <f t="shared" si="21"/>
        <v>1952105.6004666502</v>
      </c>
      <c r="AO40" s="94">
        <f t="shared" si="11"/>
        <v>2253878.2949153557</v>
      </c>
      <c r="AP40" s="133">
        <f t="shared" si="22"/>
        <v>4.0307149978244406E-3</v>
      </c>
    </row>
    <row r="41" spans="1:42" ht="14.25">
      <c r="A41" s="7" t="s">
        <v>35</v>
      </c>
      <c r="B41" s="140">
        <v>46989</v>
      </c>
      <c r="C41" s="230">
        <f t="shared" si="23"/>
        <v>2.799356569799419E-5</v>
      </c>
      <c r="D41" s="139"/>
      <c r="E41" s="267">
        <v>862</v>
      </c>
      <c r="F41" s="169">
        <f t="shared" si="1"/>
        <v>1.8523859031283833E-4</v>
      </c>
      <c r="G41" s="81">
        <f t="shared" si="12"/>
        <v>1.5745280176591257E-4</v>
      </c>
      <c r="H41" s="82">
        <v>207.92</v>
      </c>
      <c r="I41" s="169">
        <f t="shared" si="2"/>
        <v>3.2376136208983647E-3</v>
      </c>
      <c r="J41" s="83">
        <f t="shared" si="13"/>
        <v>4.8564204313475466E-4</v>
      </c>
      <c r="K41" s="230">
        <f t="shared" si="14"/>
        <v>6.430948449006672E-4</v>
      </c>
      <c r="M41" s="84">
        <v>166</v>
      </c>
      <c r="N41" s="85">
        <v>24</v>
      </c>
      <c r="O41" s="85">
        <v>127</v>
      </c>
      <c r="P41" s="85">
        <v>48</v>
      </c>
      <c r="Q41" s="86">
        <f t="shared" si="15"/>
        <v>9.7073525593493502E-5</v>
      </c>
      <c r="R41" s="86">
        <f t="shared" si="15"/>
        <v>6.821049759557996E-5</v>
      </c>
      <c r="S41" s="86">
        <f t="shared" si="15"/>
        <v>9.5031996599800059E-5</v>
      </c>
      <c r="T41" s="86">
        <f t="shared" si="15"/>
        <v>3.0656822420356133E-4</v>
      </c>
      <c r="U41" s="268">
        <f t="shared" si="16"/>
        <v>5.668842439924349E-4</v>
      </c>
      <c r="V41" s="269">
        <v>122.00000000265999</v>
      </c>
      <c r="W41" s="269">
        <v>28</v>
      </c>
      <c r="X41" s="269">
        <v>16</v>
      </c>
      <c r="Y41" s="269">
        <v>3</v>
      </c>
      <c r="Z41" s="86">
        <f t="shared" si="17"/>
        <v>9.5948760219757314E-5</v>
      </c>
      <c r="AA41" s="86">
        <f t="shared" si="4"/>
        <v>9.5573578001693018E-5</v>
      </c>
      <c r="AB41" s="86">
        <f t="shared" si="4"/>
        <v>3.2489684525163258E-5</v>
      </c>
      <c r="AC41" s="86">
        <f t="shared" si="4"/>
        <v>5.4640827626402448E-5</v>
      </c>
      <c r="AD41" s="80">
        <f t="shared" si="18"/>
        <v>2.7865285037301604E-4</v>
      </c>
      <c r="AE41" s="270">
        <f t="shared" si="19"/>
        <v>2.3685492281706362E-4</v>
      </c>
      <c r="AF41" s="169">
        <f t="shared" si="5"/>
        <v>-0.50844841195350865</v>
      </c>
      <c r="AG41" s="185">
        <f t="shared" si="6"/>
        <v>-0.50844841195350865</v>
      </c>
      <c r="AH41" s="169">
        <f t="shared" si="20"/>
        <v>9.474449189876509E-2</v>
      </c>
      <c r="AI41" s="81">
        <f t="shared" si="24"/>
        <v>1.4211673784814763E-2</v>
      </c>
      <c r="AJ41" s="230">
        <f t="shared" si="25"/>
        <v>1.4448528707631827E-2</v>
      </c>
      <c r="AL41" s="93">
        <f t="shared" si="26"/>
        <v>7826.6622867221922</v>
      </c>
      <c r="AM41" s="94">
        <f t="shared" si="27"/>
        <v>89900.769049406183</v>
      </c>
      <c r="AN41" s="94">
        <f t="shared" si="21"/>
        <v>2019816.9099756321</v>
      </c>
      <c r="AO41" s="94">
        <f t="shared" si="11"/>
        <v>2117544.3413117602</v>
      </c>
      <c r="AP41" s="133">
        <f t="shared" si="22"/>
        <v>3.7869026709821201E-3</v>
      </c>
    </row>
    <row r="42" spans="1:42" ht="14.25">
      <c r="A42" s="7" t="s">
        <v>36</v>
      </c>
      <c r="B42" s="140">
        <v>110800</v>
      </c>
      <c r="C42" s="230">
        <f t="shared" si="23"/>
        <v>6.6008790979543212E-5</v>
      </c>
      <c r="D42" s="139"/>
      <c r="E42" s="267">
        <v>7095</v>
      </c>
      <c r="F42" s="169">
        <f t="shared" si="1"/>
        <v>1.5246726198023062E-3</v>
      </c>
      <c r="G42" s="81">
        <f t="shared" si="12"/>
        <v>1.2959717268319602E-3</v>
      </c>
      <c r="H42" s="82">
        <v>1006.78</v>
      </c>
      <c r="I42" s="169">
        <f t="shared" si="2"/>
        <v>1.5677013472720547E-2</v>
      </c>
      <c r="J42" s="83">
        <f t="shared" si="13"/>
        <v>2.3515520209080819E-3</v>
      </c>
      <c r="K42" s="230">
        <f t="shared" si="14"/>
        <v>3.6475237477400424E-3</v>
      </c>
      <c r="M42" s="84">
        <v>1457</v>
      </c>
      <c r="N42" s="85">
        <v>857</v>
      </c>
      <c r="O42" s="85">
        <v>6591</v>
      </c>
      <c r="P42" s="85">
        <v>540</v>
      </c>
      <c r="Q42" s="86">
        <f t="shared" si="15"/>
        <v>8.5202486017903634E-4</v>
      </c>
      <c r="R42" s="86">
        <f t="shared" si="15"/>
        <v>2.4356831849755012E-3</v>
      </c>
      <c r="S42" s="86">
        <f t="shared" si="15"/>
        <v>4.9319361384982845E-3</v>
      </c>
      <c r="T42" s="86">
        <f t="shared" si="15"/>
        <v>3.4488925222900648E-3</v>
      </c>
      <c r="U42" s="268">
        <f t="shared" si="16"/>
        <v>1.1668536705942888E-2</v>
      </c>
      <c r="V42" s="269">
        <v>1103.9999999949041</v>
      </c>
      <c r="W42" s="269">
        <v>656</v>
      </c>
      <c r="X42" s="269">
        <v>3161</v>
      </c>
      <c r="Y42" s="269">
        <v>242</v>
      </c>
      <c r="Z42" s="86">
        <f t="shared" si="17"/>
        <v>8.6825763344109482E-4</v>
      </c>
      <c r="AA42" s="86">
        <f t="shared" si="4"/>
        <v>2.2391523988968078E-3</v>
      </c>
      <c r="AB42" s="86">
        <f t="shared" si="4"/>
        <v>6.4187432990025668E-3</v>
      </c>
      <c r="AC42" s="86">
        <f t="shared" si="4"/>
        <v>4.4076934285297974E-3</v>
      </c>
      <c r="AD42" s="80">
        <f t="shared" si="18"/>
        <v>1.3933846759870267E-2</v>
      </c>
      <c r="AE42" s="270">
        <f t="shared" si="19"/>
        <v>1.1843769745889727E-2</v>
      </c>
      <c r="AF42" s="169">
        <f t="shared" si="5"/>
        <v>0.19413831494172162</v>
      </c>
      <c r="AG42" s="185">
        <f t="shared" si="6"/>
        <v>0</v>
      </c>
      <c r="AH42" s="169">
        <f t="shared" si="20"/>
        <v>0</v>
      </c>
      <c r="AI42" s="81">
        <f t="shared" si="24"/>
        <v>0</v>
      </c>
      <c r="AJ42" s="230">
        <f t="shared" si="25"/>
        <v>1.1843769745889727E-2</v>
      </c>
      <c r="AL42" s="93">
        <f t="shared" si="26"/>
        <v>18455.259345140752</v>
      </c>
      <c r="AM42" s="94">
        <f t="shared" si="27"/>
        <v>509901.75500233099</v>
      </c>
      <c r="AN42" s="94">
        <f t="shared" si="21"/>
        <v>1655687.3640684222</v>
      </c>
      <c r="AO42" s="94">
        <f t="shared" si="11"/>
        <v>2184044.3784158938</v>
      </c>
      <c r="AP42" s="133">
        <f t="shared" si="22"/>
        <v>3.9058277688972134E-3</v>
      </c>
    </row>
    <row r="43" spans="1:42" ht="14.25">
      <c r="A43" s="7" t="s">
        <v>37</v>
      </c>
      <c r="B43" s="140">
        <v>289580</v>
      </c>
      <c r="C43" s="230">
        <f t="shared" si="23"/>
        <v>1.7251647736332243E-4</v>
      </c>
      <c r="D43" s="139"/>
      <c r="E43" s="267">
        <v>5447</v>
      </c>
      <c r="F43" s="169">
        <f t="shared" si="1"/>
        <v>1.1705273798538634E-3</v>
      </c>
      <c r="G43" s="81">
        <f t="shared" si="12"/>
        <v>9.9494827287578387E-4</v>
      </c>
      <c r="H43" s="82">
        <v>3872.26</v>
      </c>
      <c r="I43" s="169">
        <f t="shared" si="2"/>
        <v>6.0296660829453175E-2</v>
      </c>
      <c r="J43" s="83">
        <f t="shared" si="13"/>
        <v>9.0444991244179752E-3</v>
      </c>
      <c r="K43" s="230">
        <f t="shared" si="14"/>
        <v>1.0039447397293759E-2</v>
      </c>
      <c r="M43" s="84">
        <v>871</v>
      </c>
      <c r="N43" s="85">
        <v>298</v>
      </c>
      <c r="O43" s="85">
        <v>2364</v>
      </c>
      <c r="P43" s="85">
        <v>407</v>
      </c>
      <c r="Q43" s="86">
        <f t="shared" si="15"/>
        <v>5.0934361922851112E-4</v>
      </c>
      <c r="R43" s="86">
        <f t="shared" si="15"/>
        <v>8.4694701181178454E-4</v>
      </c>
      <c r="S43" s="86">
        <f t="shared" si="15"/>
        <v>1.7689420469443097E-3</v>
      </c>
      <c r="T43" s="86">
        <f t="shared" si="15"/>
        <v>2.5994430677260304E-3</v>
      </c>
      <c r="U43" s="268">
        <f t="shared" si="16"/>
        <v>5.7246757457106359E-3</v>
      </c>
      <c r="V43" s="269">
        <v>541.99999999184001</v>
      </c>
      <c r="W43" s="269">
        <v>247</v>
      </c>
      <c r="X43" s="269">
        <v>493</v>
      </c>
      <c r="Y43" s="269">
        <v>128</v>
      </c>
      <c r="Z43" s="86">
        <f t="shared" si="17"/>
        <v>4.2626416423927597E-4</v>
      </c>
      <c r="AA43" s="86">
        <f t="shared" si="4"/>
        <v>8.4309549165779193E-4</v>
      </c>
      <c r="AB43" s="86">
        <f t="shared" si="4"/>
        <v>1.0010884044315931E-3</v>
      </c>
      <c r="AC43" s="86">
        <f t="shared" si="4"/>
        <v>2.3313419787265046E-3</v>
      </c>
      <c r="AD43" s="80">
        <f t="shared" si="18"/>
        <v>4.6017900390551651E-3</v>
      </c>
      <c r="AE43" s="270">
        <f t="shared" si="19"/>
        <v>3.9115215331968906E-3</v>
      </c>
      <c r="AF43" s="169">
        <f t="shared" si="5"/>
        <v>-0.19614835084708904</v>
      </c>
      <c r="AG43" s="185">
        <f t="shared" si="6"/>
        <v>-0.19614835084708904</v>
      </c>
      <c r="AH43" s="169">
        <f t="shared" si="20"/>
        <v>3.655036656794089E-2</v>
      </c>
      <c r="AI43" s="81">
        <f t="shared" si="24"/>
        <v>5.4825549851911333E-3</v>
      </c>
      <c r="AJ43" s="230">
        <f t="shared" si="25"/>
        <v>9.3940765183880247E-3</v>
      </c>
      <c r="AL43" s="93">
        <f t="shared" si="26"/>
        <v>48233.519866117866</v>
      </c>
      <c r="AM43" s="94">
        <f t="shared" si="27"/>
        <v>1403454.0146052286</v>
      </c>
      <c r="AN43" s="94">
        <f t="shared" si="21"/>
        <v>1313235.0697703057</v>
      </c>
      <c r="AO43" s="94">
        <f t="shared" si="11"/>
        <v>2764922.6042416524</v>
      </c>
      <c r="AP43" s="133">
        <f t="shared" si="22"/>
        <v>4.944639217602108E-3</v>
      </c>
    </row>
    <row r="44" spans="1:42" ht="14.25">
      <c r="A44" s="7" t="s">
        <v>38</v>
      </c>
      <c r="B44" s="140">
        <v>8377026.5700000003</v>
      </c>
      <c r="C44" s="230">
        <f t="shared" si="23"/>
        <v>4.9905902156065877E-3</v>
      </c>
      <c r="D44" s="139"/>
      <c r="E44" s="267">
        <v>59113</v>
      </c>
      <c r="F44" s="169">
        <f t="shared" si="1"/>
        <v>1.2703026437543865E-2</v>
      </c>
      <c r="G44" s="81">
        <f t="shared" si="12"/>
        <v>1.0797572471912285E-2</v>
      </c>
      <c r="H44" s="82">
        <v>1869.3</v>
      </c>
      <c r="I44" s="169">
        <f t="shared" si="2"/>
        <v>2.9107691138636562E-2</v>
      </c>
      <c r="J44" s="83">
        <f t="shared" si="13"/>
        <v>4.3661536707954845E-3</v>
      </c>
      <c r="K44" s="230">
        <f t="shared" si="14"/>
        <v>1.516372614270777E-2</v>
      </c>
      <c r="M44" s="84">
        <v>9097</v>
      </c>
      <c r="N44" s="85">
        <v>1608</v>
      </c>
      <c r="O44" s="85">
        <v>18077</v>
      </c>
      <c r="P44" s="85">
        <v>1611</v>
      </c>
      <c r="Q44" s="86">
        <f t="shared" si="15"/>
        <v>5.3197461585783755E-3</v>
      </c>
      <c r="R44" s="86">
        <f t="shared" si="15"/>
        <v>4.5701033389038571E-3</v>
      </c>
      <c r="S44" s="86">
        <f t="shared" si="15"/>
        <v>1.3526719704996738E-2</v>
      </c>
      <c r="T44" s="86">
        <f t="shared" si="15"/>
        <v>1.0289196024832026E-2</v>
      </c>
      <c r="U44" s="268">
        <f t="shared" si="16"/>
        <v>3.3705765227310995E-2</v>
      </c>
      <c r="V44" s="269">
        <v>5867.9999999965466</v>
      </c>
      <c r="W44" s="269">
        <v>1434</v>
      </c>
      <c r="X44" s="269">
        <v>7372</v>
      </c>
      <c r="Y44" s="269">
        <v>494</v>
      </c>
      <c r="Z44" s="86">
        <f t="shared" si="17"/>
        <v>4.6149780734174488E-3</v>
      </c>
      <c r="AA44" s="86">
        <f t="shared" si="4"/>
        <v>4.8947325305152781E-3</v>
      </c>
      <c r="AB44" s="86">
        <f t="shared" si="4"/>
        <v>1.4969622144968973E-2</v>
      </c>
      <c r="AC44" s="86">
        <f t="shared" si="4"/>
        <v>8.9975229491476034E-3</v>
      </c>
      <c r="AD44" s="80">
        <f t="shared" si="18"/>
        <v>3.3476855698049306E-2</v>
      </c>
      <c r="AE44" s="270">
        <f t="shared" si="19"/>
        <v>2.8455327343341909E-2</v>
      </c>
      <c r="AF44" s="169">
        <f t="shared" si="5"/>
        <v>-6.7914057941698752E-3</v>
      </c>
      <c r="AG44" s="185">
        <f t="shared" si="6"/>
        <v>-6.7914057941698752E-3</v>
      </c>
      <c r="AH44" s="169">
        <f t="shared" si="20"/>
        <v>1.2655134249997214E-3</v>
      </c>
      <c r="AI44" s="81">
        <f t="shared" si="24"/>
        <v>1.898270137499582E-4</v>
      </c>
      <c r="AJ44" s="230">
        <f t="shared" si="25"/>
        <v>2.8645154357091869E-2</v>
      </c>
      <c r="AL44" s="93">
        <f t="shared" si="26"/>
        <v>1395308.6452209828</v>
      </c>
      <c r="AM44" s="94">
        <f t="shared" si="27"/>
        <v>2119797.1849620091</v>
      </c>
      <c r="AN44" s="94">
        <f t="shared" si="21"/>
        <v>4004419.2962536924</v>
      </c>
      <c r="AO44" s="94">
        <f t="shared" si="11"/>
        <v>7519525.1264366843</v>
      </c>
      <c r="AP44" s="133">
        <f t="shared" si="22"/>
        <v>1.3447515232753204E-2</v>
      </c>
    </row>
    <row r="45" spans="1:42" ht="14.25">
      <c r="A45" s="7" t="s">
        <v>39</v>
      </c>
      <c r="B45" s="140">
        <v>741051550.4000001</v>
      </c>
      <c r="C45" s="230">
        <f t="shared" si="23"/>
        <v>0.44147939436299677</v>
      </c>
      <c r="D45" s="139"/>
      <c r="E45" s="267">
        <v>1135550</v>
      </c>
      <c r="F45" s="169">
        <f t="shared" si="1"/>
        <v>0.24402283205306677</v>
      </c>
      <c r="G45" s="81">
        <f t="shared" si="12"/>
        <v>0.20741940724510674</v>
      </c>
      <c r="H45" s="82">
        <v>323.60000000000002</v>
      </c>
      <c r="I45" s="169">
        <f t="shared" si="2"/>
        <v>5.0389176977814112E-3</v>
      </c>
      <c r="J45" s="83">
        <f t="shared" si="13"/>
        <v>7.558376546672117E-4</v>
      </c>
      <c r="K45" s="230">
        <f t="shared" si="14"/>
        <v>0.20817524489977396</v>
      </c>
      <c r="M45" s="84">
        <v>123398</v>
      </c>
      <c r="N45" s="85">
        <v>25536</v>
      </c>
      <c r="O45" s="85">
        <v>28126</v>
      </c>
      <c r="P45" s="85">
        <v>2378</v>
      </c>
      <c r="Q45" s="86">
        <f t="shared" si="15"/>
        <v>7.2160716332445252E-2</v>
      </c>
      <c r="R45" s="86">
        <f t="shared" si="15"/>
        <v>7.2575969441697072E-2</v>
      </c>
      <c r="S45" s="86">
        <f t="shared" si="15"/>
        <v>2.104621997138564E-2</v>
      </c>
      <c r="T45" s="86">
        <f t="shared" si="15"/>
        <v>1.5187900774084766E-2</v>
      </c>
      <c r="U45" s="268">
        <f t="shared" si="16"/>
        <v>0.18097080651961275</v>
      </c>
      <c r="V45" s="269">
        <v>88873.999998769097</v>
      </c>
      <c r="W45" s="269">
        <v>19246</v>
      </c>
      <c r="X45" s="269">
        <v>4982</v>
      </c>
      <c r="Y45" s="269">
        <v>694</v>
      </c>
      <c r="Z45" s="86">
        <f t="shared" si="17"/>
        <v>6.9896312421858064E-2</v>
      </c>
      <c r="AA45" s="86">
        <f t="shared" si="4"/>
        <v>6.5693181507877993E-2</v>
      </c>
      <c r="AB45" s="86">
        <f t="shared" si="4"/>
        <v>1.011647551902271E-2</v>
      </c>
      <c r="AC45" s="86">
        <f t="shared" si="4"/>
        <v>1.2640244790907766E-2</v>
      </c>
      <c r="AD45" s="80">
        <f t="shared" si="18"/>
        <v>0.15834621423966655</v>
      </c>
      <c r="AE45" s="270">
        <f t="shared" si="19"/>
        <v>0.13459428210371657</v>
      </c>
      <c r="AF45" s="169">
        <f t="shared" si="5"/>
        <v>-0.12501791153532965</v>
      </c>
      <c r="AG45" s="185">
        <f t="shared" si="6"/>
        <v>-0.12501791153532965</v>
      </c>
      <c r="AH45" s="169">
        <f t="shared" si="20"/>
        <v>2.329589045455142E-2</v>
      </c>
      <c r="AI45" s="81">
        <f t="shared" si="24"/>
        <v>3.4943835681827129E-3</v>
      </c>
      <c r="AJ45" s="230">
        <f t="shared" si="25"/>
        <v>0.13808866567189929</v>
      </c>
      <c r="AL45" s="93">
        <f t="shared" si="26"/>
        <v>123432297.38944626</v>
      </c>
      <c r="AM45" s="94">
        <f t="shared" si="27"/>
        <v>29101639.924401663</v>
      </c>
      <c r="AN45" s="94">
        <f t="shared" si="21"/>
        <v>19303960.122441344</v>
      </c>
      <c r="AO45" s="94">
        <f t="shared" si="11"/>
        <v>171837897.43628928</v>
      </c>
      <c r="AP45" s="133">
        <f t="shared" si="22"/>
        <v>0.30730567482441673</v>
      </c>
    </row>
    <row r="46" spans="1:42" ht="14.25">
      <c r="A46" s="7" t="s">
        <v>40</v>
      </c>
      <c r="B46" s="140">
        <v>57028</v>
      </c>
      <c r="C46" s="230">
        <f t="shared" si="23"/>
        <v>3.3974271949290531E-5</v>
      </c>
      <c r="D46" s="139"/>
      <c r="E46" s="267">
        <v>1034</v>
      </c>
      <c r="F46" s="169">
        <f t="shared" si="1"/>
        <v>2.2220035079289422E-4</v>
      </c>
      <c r="G46" s="81">
        <f t="shared" si="12"/>
        <v>1.8887029817396008E-4</v>
      </c>
      <c r="H46" s="82">
        <v>1172.6600000000001</v>
      </c>
      <c r="I46" s="169">
        <f t="shared" si="2"/>
        <v>1.8260003793202563E-2</v>
      </c>
      <c r="J46" s="83">
        <f t="shared" si="13"/>
        <v>2.7390005689803842E-3</v>
      </c>
      <c r="K46" s="230">
        <f t="shared" si="14"/>
        <v>2.9278708671543444E-3</v>
      </c>
      <c r="M46" s="84">
        <v>244</v>
      </c>
      <c r="N46" s="85">
        <v>60</v>
      </c>
      <c r="O46" s="85">
        <v>375</v>
      </c>
      <c r="P46" s="85">
        <v>47</v>
      </c>
      <c r="Q46" s="86">
        <f t="shared" si="15"/>
        <v>1.4268638701694225E-4</v>
      </c>
      <c r="R46" s="86">
        <f t="shared" si="15"/>
        <v>1.7052624398894989E-4</v>
      </c>
      <c r="S46" s="86">
        <f t="shared" si="15"/>
        <v>2.8060628917263796E-4</v>
      </c>
      <c r="T46" s="86">
        <f t="shared" si="15"/>
        <v>3.0018138619932047E-4</v>
      </c>
      <c r="U46" s="268">
        <f t="shared" si="16"/>
        <v>8.9400030637785065E-4</v>
      </c>
      <c r="V46" s="269">
        <v>95.999999999399989</v>
      </c>
      <c r="W46" s="269">
        <v>43</v>
      </c>
      <c r="X46" s="269">
        <v>84</v>
      </c>
      <c r="Y46" s="269">
        <v>27</v>
      </c>
      <c r="Z46" s="86">
        <f t="shared" si="17"/>
        <v>7.5500663777363118E-5</v>
      </c>
      <c r="AA46" s="86">
        <f t="shared" si="4"/>
        <v>1.4677370907402855E-4</v>
      </c>
      <c r="AB46" s="86">
        <f t="shared" si="4"/>
        <v>1.7057084375710711E-4</v>
      </c>
      <c r="AC46" s="86">
        <f t="shared" si="4"/>
        <v>4.91767448637622E-4</v>
      </c>
      <c r="AD46" s="80">
        <f t="shared" si="18"/>
        <v>8.8461266524612078E-4</v>
      </c>
      <c r="AE46" s="270">
        <f t="shared" si="19"/>
        <v>7.5192076545920264E-4</v>
      </c>
      <c r="AF46" s="169">
        <f t="shared" si="5"/>
        <v>-1.0500713550943872E-2</v>
      </c>
      <c r="AG46" s="185">
        <f t="shared" si="6"/>
        <v>-1.0500713550943872E-2</v>
      </c>
      <c r="AH46" s="169">
        <f t="shared" si="20"/>
        <v>1.9567073995495625E-3</v>
      </c>
      <c r="AI46" s="81">
        <f t="shared" si="24"/>
        <v>2.9350610993243438E-4</v>
      </c>
      <c r="AJ46" s="230">
        <f t="shared" si="25"/>
        <v>1.0454268753916371E-3</v>
      </c>
      <c r="AL46" s="93">
        <f t="shared" si="26"/>
        <v>9498.795396522446</v>
      </c>
      <c r="AM46" s="94">
        <f t="shared" si="27"/>
        <v>409298.63568597584</v>
      </c>
      <c r="AN46" s="94">
        <f t="shared" si="21"/>
        <v>146144.35308860676</v>
      </c>
      <c r="AO46" s="94">
        <f t="shared" si="11"/>
        <v>564941.78417110501</v>
      </c>
      <c r="AP46" s="133">
        <f t="shared" si="22"/>
        <v>1.0103115716111406E-3</v>
      </c>
    </row>
    <row r="47" spans="1:42" ht="14.25">
      <c r="A47" s="7" t="s">
        <v>41</v>
      </c>
      <c r="B47" s="140">
        <v>3650539.3299999996</v>
      </c>
      <c r="C47" s="230">
        <f t="shared" si="23"/>
        <v>2.1747986245177955E-3</v>
      </c>
      <c r="D47" s="139"/>
      <c r="E47" s="267">
        <v>20843</v>
      </c>
      <c r="F47" s="169">
        <f t="shared" si="1"/>
        <v>4.4790347307314257E-3</v>
      </c>
      <c r="G47" s="81">
        <f t="shared" si="12"/>
        <v>3.8071795211217117E-3</v>
      </c>
      <c r="H47" s="82">
        <v>308.89</v>
      </c>
      <c r="I47" s="169">
        <f t="shared" si="2"/>
        <v>4.8098618283921504E-3</v>
      </c>
      <c r="J47" s="83">
        <f t="shared" si="13"/>
        <v>7.2147927425882249E-4</v>
      </c>
      <c r="K47" s="230">
        <f t="shared" si="14"/>
        <v>4.5286587953805345E-3</v>
      </c>
      <c r="M47" s="84">
        <v>1423</v>
      </c>
      <c r="N47" s="85">
        <v>462</v>
      </c>
      <c r="O47" s="85">
        <v>3867</v>
      </c>
      <c r="P47" s="85">
        <v>358</v>
      </c>
      <c r="Q47" s="86">
        <f t="shared" si="15"/>
        <v>8.3214233084060992E-4</v>
      </c>
      <c r="R47" s="86">
        <f t="shared" si="15"/>
        <v>1.3130520787149142E-3</v>
      </c>
      <c r="S47" s="86">
        <f t="shared" si="15"/>
        <v>2.8936120539482428E-3</v>
      </c>
      <c r="T47" s="86">
        <f t="shared" si="15"/>
        <v>2.286488005518228E-3</v>
      </c>
      <c r="U47" s="268">
        <f t="shared" si="16"/>
        <v>7.3252944690219944E-3</v>
      </c>
      <c r="V47" s="269">
        <v>502.9999955589883</v>
      </c>
      <c r="W47" s="269">
        <v>435</v>
      </c>
      <c r="X47" s="269">
        <v>1115</v>
      </c>
      <c r="Y47" s="269">
        <v>155</v>
      </c>
      <c r="Z47" s="86">
        <f t="shared" si="17"/>
        <v>3.9559201609324664E-4</v>
      </c>
      <c r="AA47" s="86">
        <f t="shared" si="4"/>
        <v>1.4848038010977307E-3</v>
      </c>
      <c r="AB47" s="86">
        <f t="shared" si="4"/>
        <v>2.2641248903473147E-3</v>
      </c>
      <c r="AC47" s="86">
        <f t="shared" si="4"/>
        <v>2.8231094273641266E-3</v>
      </c>
      <c r="AD47" s="80">
        <f t="shared" si="18"/>
        <v>6.9676301349024189E-3</v>
      </c>
      <c r="AE47" s="270">
        <f t="shared" si="19"/>
        <v>5.9224856146670559E-3</v>
      </c>
      <c r="AF47" s="169">
        <f t="shared" si="5"/>
        <v>-4.8825932613645158E-2</v>
      </c>
      <c r="AG47" s="185">
        <f t="shared" si="6"/>
        <v>-4.8825932613645158E-2</v>
      </c>
      <c r="AH47" s="169">
        <f t="shared" si="20"/>
        <v>9.0982449117888945E-3</v>
      </c>
      <c r="AI47" s="81">
        <f t="shared" si="24"/>
        <v>1.3647367367683341E-3</v>
      </c>
      <c r="AJ47" s="230">
        <f t="shared" si="25"/>
        <v>7.2872223514353898E-3</v>
      </c>
      <c r="AL47" s="93">
        <f t="shared" si="26"/>
        <v>608047.38343669998</v>
      </c>
      <c r="AM47" s="94">
        <f t="shared" si="27"/>
        <v>633079.10442036425</v>
      </c>
      <c r="AN47" s="94">
        <f t="shared" si="21"/>
        <v>1018709.6022037852</v>
      </c>
      <c r="AO47" s="94">
        <f t="shared" si="11"/>
        <v>2259836.0900608497</v>
      </c>
      <c r="AP47" s="133">
        <f t="shared" si="22"/>
        <v>4.0413695989628788E-3</v>
      </c>
    </row>
    <row r="48" spans="1:42" ht="14.25">
      <c r="A48" s="7" t="s">
        <v>42</v>
      </c>
      <c r="B48" s="140">
        <v>206988</v>
      </c>
      <c r="C48" s="230">
        <f t="shared" si="23"/>
        <v>1.2331252371185642E-4</v>
      </c>
      <c r="D48" s="139"/>
      <c r="E48" s="267">
        <v>5359</v>
      </c>
      <c r="F48" s="169">
        <f t="shared" si="1"/>
        <v>1.1516167117012767E-3</v>
      </c>
      <c r="G48" s="81">
        <f t="shared" si="12"/>
        <v>9.788742049460853E-4</v>
      </c>
      <c r="H48" s="82">
        <v>1341.58</v>
      </c>
      <c r="I48" s="169">
        <f t="shared" si="2"/>
        <v>2.089033128859575E-2</v>
      </c>
      <c r="J48" s="83">
        <f t="shared" si="13"/>
        <v>3.1335496932893623E-3</v>
      </c>
      <c r="K48" s="230">
        <f t="shared" si="14"/>
        <v>4.1124238982354474E-3</v>
      </c>
      <c r="M48" s="84">
        <v>1104</v>
      </c>
      <c r="N48" s="85">
        <v>274</v>
      </c>
      <c r="O48" s="85">
        <v>2326</v>
      </c>
      <c r="P48" s="85">
        <v>140</v>
      </c>
      <c r="Q48" s="86">
        <f t="shared" si="15"/>
        <v>6.4559742322419769E-4</v>
      </c>
      <c r="R48" s="86">
        <f t="shared" si="15"/>
        <v>7.7873651421620459E-4</v>
      </c>
      <c r="S48" s="86">
        <f t="shared" si="15"/>
        <v>1.7405072763081492E-3</v>
      </c>
      <c r="T48" s="86">
        <f t="shared" si="15"/>
        <v>8.9415732059372043E-4</v>
      </c>
      <c r="U48" s="268">
        <f t="shared" si="16"/>
        <v>4.0589985343422721E-3</v>
      </c>
      <c r="V48" s="269">
        <v>511.00000000414997</v>
      </c>
      <c r="W48" s="269">
        <v>264</v>
      </c>
      <c r="X48" s="269">
        <v>999</v>
      </c>
      <c r="Y48" s="269">
        <v>49</v>
      </c>
      <c r="Z48" s="86">
        <f t="shared" si="17"/>
        <v>4.0188374157069809E-4</v>
      </c>
      <c r="AA48" s="86">
        <f t="shared" si="4"/>
        <v>9.0112230687310556E-4</v>
      </c>
      <c r="AB48" s="86">
        <f t="shared" si="4"/>
        <v>2.028574677539881E-3</v>
      </c>
      <c r="AC48" s="86">
        <f t="shared" si="4"/>
        <v>8.9246685123123997E-4</v>
      </c>
      <c r="AD48" s="80">
        <f t="shared" si="18"/>
        <v>4.2240475772149242E-3</v>
      </c>
      <c r="AE48" s="270">
        <f t="shared" si="19"/>
        <v>3.5904404406326856E-3</v>
      </c>
      <c r="AF48" s="169">
        <f t="shared" si="5"/>
        <v>4.066250368809185E-2</v>
      </c>
      <c r="AG48" s="185">
        <f t="shared" si="6"/>
        <v>0</v>
      </c>
      <c r="AH48" s="169">
        <f t="shared" si="20"/>
        <v>0</v>
      </c>
      <c r="AI48" s="81">
        <f t="shared" si="24"/>
        <v>0</v>
      </c>
      <c r="AJ48" s="230">
        <f t="shared" si="25"/>
        <v>3.5904404406326856E-3</v>
      </c>
      <c r="AL48" s="93">
        <f t="shared" si="26"/>
        <v>34476.689723212941</v>
      </c>
      <c r="AM48" s="94">
        <f t="shared" si="27"/>
        <v>574891.98372540099</v>
      </c>
      <c r="AN48" s="94">
        <f t="shared" si="21"/>
        <v>501921.85398224508</v>
      </c>
      <c r="AO48" s="94">
        <f t="shared" si="11"/>
        <v>1111290.5274308589</v>
      </c>
      <c r="AP48" s="133">
        <f t="shared" si="22"/>
        <v>1.9873723465729611E-3</v>
      </c>
    </row>
    <row r="49" spans="1:42" ht="14.25">
      <c r="A49" s="7" t="s">
        <v>43</v>
      </c>
      <c r="B49" s="140">
        <v>65492</v>
      </c>
      <c r="C49" s="230">
        <f t="shared" si="23"/>
        <v>3.9016676343251303E-5</v>
      </c>
      <c r="D49" s="139"/>
      <c r="E49" s="267">
        <v>2628</v>
      </c>
      <c r="F49" s="169">
        <f t="shared" si="1"/>
        <v>5.6474131710224952E-4</v>
      </c>
      <c r="G49" s="81">
        <f t="shared" si="12"/>
        <v>4.800301195369121E-4</v>
      </c>
      <c r="H49" s="82">
        <v>673.76</v>
      </c>
      <c r="I49" s="169">
        <f t="shared" si="2"/>
        <v>1.0491412818470961E-2</v>
      </c>
      <c r="J49" s="83">
        <f t="shared" si="13"/>
        <v>1.5737119227706442E-3</v>
      </c>
      <c r="K49" s="230">
        <f t="shared" si="14"/>
        <v>2.0537420423075562E-3</v>
      </c>
      <c r="M49" s="84">
        <v>671</v>
      </c>
      <c r="N49" s="85">
        <v>247</v>
      </c>
      <c r="O49" s="85">
        <v>1766</v>
      </c>
      <c r="P49" s="85">
        <v>574</v>
      </c>
      <c r="Q49" s="86">
        <f t="shared" si="15"/>
        <v>3.9238756429659118E-4</v>
      </c>
      <c r="R49" s="86">
        <f t="shared" si="15"/>
        <v>7.0199970442117712E-4</v>
      </c>
      <c r="S49" s="86">
        <f t="shared" si="15"/>
        <v>1.3214685511436764E-3</v>
      </c>
      <c r="T49" s="86">
        <f t="shared" si="15"/>
        <v>3.6660450144342539E-3</v>
      </c>
      <c r="U49" s="268">
        <f t="shared" si="16"/>
        <v>6.0819008342956988E-3</v>
      </c>
      <c r="V49" s="269">
        <v>600.99999999995009</v>
      </c>
      <c r="W49" s="269">
        <v>212</v>
      </c>
      <c r="X49" s="269">
        <v>872</v>
      </c>
      <c r="Y49" s="269">
        <v>90</v>
      </c>
      <c r="Z49" s="86">
        <f t="shared" si="17"/>
        <v>4.7266561385911533E-4</v>
      </c>
      <c r="AA49" s="86">
        <f t="shared" si="4"/>
        <v>7.2362851915567573E-4</v>
      </c>
      <c r="AB49" s="86">
        <f t="shared" si="4"/>
        <v>1.7706878066213977E-3</v>
      </c>
      <c r="AC49" s="86">
        <f t="shared" si="4"/>
        <v>1.6392248287920735E-3</v>
      </c>
      <c r="AD49" s="80">
        <f t="shared" si="18"/>
        <v>4.6062067684282618E-3</v>
      </c>
      <c r="AE49" s="270">
        <f t="shared" si="19"/>
        <v>3.9152757531640226E-3</v>
      </c>
      <c r="AF49" s="169">
        <f t="shared" si="5"/>
        <v>-0.24263698242924844</v>
      </c>
      <c r="AG49" s="185">
        <f t="shared" si="6"/>
        <v>-0.24263698242924844</v>
      </c>
      <c r="AH49" s="169">
        <f t="shared" si="20"/>
        <v>4.5213077818031917E-2</v>
      </c>
      <c r="AI49" s="81">
        <f t="shared" si="24"/>
        <v>6.7819616727047873E-3</v>
      </c>
      <c r="AJ49" s="230">
        <f t="shared" si="25"/>
        <v>1.0697237425868811E-2</v>
      </c>
      <c r="AL49" s="93">
        <f t="shared" si="26"/>
        <v>10908.590659133197</v>
      </c>
      <c r="AM49" s="94">
        <f t="shared" si="27"/>
        <v>287100.71383182355</v>
      </c>
      <c r="AN49" s="94">
        <f t="shared" si="21"/>
        <v>1495409.0814368748</v>
      </c>
      <c r="AO49" s="94">
        <f t="shared" si="11"/>
        <v>1793418.3859278315</v>
      </c>
      <c r="AP49" s="133">
        <f t="shared" si="22"/>
        <v>3.2072532052157174E-3</v>
      </c>
    </row>
    <row r="50" spans="1:42" ht="14.25">
      <c r="A50" s="7" t="s">
        <v>44</v>
      </c>
      <c r="B50" s="140">
        <v>4730365.3</v>
      </c>
      <c r="C50" s="230">
        <f t="shared" si="23"/>
        <v>2.8181019345179083E-3</v>
      </c>
      <c r="D50" s="139"/>
      <c r="E50" s="267">
        <v>34671</v>
      </c>
      <c r="F50" s="169">
        <f t="shared" si="1"/>
        <v>7.4505883581628971E-3</v>
      </c>
      <c r="G50" s="81">
        <f t="shared" si="12"/>
        <v>6.3330001044384623E-3</v>
      </c>
      <c r="H50" s="82">
        <v>1542.15</v>
      </c>
      <c r="I50" s="169">
        <f t="shared" si="2"/>
        <v>2.4013494831995066E-2</v>
      </c>
      <c r="J50" s="83">
        <f t="shared" si="13"/>
        <v>3.6020242247992596E-3</v>
      </c>
      <c r="K50" s="230">
        <f t="shared" si="14"/>
        <v>9.9350243292377211E-3</v>
      </c>
      <c r="M50" s="84">
        <v>4789</v>
      </c>
      <c r="N50" s="85">
        <v>909</v>
      </c>
      <c r="O50" s="85">
        <v>4749</v>
      </c>
      <c r="P50" s="85">
        <v>258</v>
      </c>
      <c r="Q50" s="86">
        <f t="shared" si="15"/>
        <v>2.8005127353448217E-3</v>
      </c>
      <c r="R50" s="86">
        <f t="shared" si="15"/>
        <v>2.5834725964325911E-3</v>
      </c>
      <c r="S50" s="86">
        <f t="shared" si="15"/>
        <v>3.5535980460822871E-3</v>
      </c>
      <c r="T50" s="86">
        <f t="shared" si="15"/>
        <v>1.6478042050941421E-3</v>
      </c>
      <c r="U50" s="268">
        <f t="shared" si="16"/>
        <v>1.0585387582953843E-2</v>
      </c>
      <c r="V50" s="269">
        <v>3480.0000000606401</v>
      </c>
      <c r="W50" s="269">
        <v>841</v>
      </c>
      <c r="X50" s="269">
        <v>1534</v>
      </c>
      <c r="Y50" s="269">
        <v>182</v>
      </c>
      <c r="Z50" s="86">
        <f t="shared" si="17"/>
        <v>2.7368990619942106E-3</v>
      </c>
      <c r="AA50" s="86">
        <f t="shared" si="4"/>
        <v>2.8706206821222796E-3</v>
      </c>
      <c r="AB50" s="86">
        <f t="shared" si="4"/>
        <v>3.1149485038500274E-3</v>
      </c>
      <c r="AC50" s="86">
        <f t="shared" si="4"/>
        <v>3.3148768760017486E-3</v>
      </c>
      <c r="AD50" s="80">
        <f t="shared" si="18"/>
        <v>1.2037345123968266E-2</v>
      </c>
      <c r="AE50" s="270">
        <f t="shared" si="19"/>
        <v>1.0231743355373026E-2</v>
      </c>
      <c r="AF50" s="169">
        <f t="shared" si="5"/>
        <v>0.1371662142397676</v>
      </c>
      <c r="AG50" s="185">
        <f t="shared" si="6"/>
        <v>0</v>
      </c>
      <c r="AH50" s="169">
        <f t="shared" si="20"/>
        <v>0</v>
      </c>
      <c r="AI50" s="81">
        <f t="shared" si="24"/>
        <v>0</v>
      </c>
      <c r="AJ50" s="230">
        <f t="shared" si="25"/>
        <v>1.0231743355373026E-2</v>
      </c>
      <c r="AL50" s="93">
        <f t="shared" si="26"/>
        <v>787907.2058551854</v>
      </c>
      <c r="AM50" s="94">
        <f t="shared" si="27"/>
        <v>1388856.301376496</v>
      </c>
      <c r="AN50" s="94">
        <f t="shared" si="21"/>
        <v>1430335.8262905465</v>
      </c>
      <c r="AO50" s="94">
        <f t="shared" si="11"/>
        <v>3607099.3335222281</v>
      </c>
      <c r="AP50" s="133">
        <f t="shared" si="22"/>
        <v>6.4507428884116418E-3</v>
      </c>
    </row>
    <row r="51" spans="1:42" ht="14.25">
      <c r="A51" s="7" t="s">
        <v>45</v>
      </c>
      <c r="B51" s="140">
        <v>3168187.34</v>
      </c>
      <c r="C51" s="230">
        <f t="shared" si="23"/>
        <v>1.8874387717517601E-3</v>
      </c>
      <c r="D51" s="139"/>
      <c r="E51" s="267">
        <v>32660</v>
      </c>
      <c r="F51" s="169">
        <f t="shared" si="1"/>
        <v>7.018436612085034E-3</v>
      </c>
      <c r="G51" s="81">
        <f t="shared" si="12"/>
        <v>5.9656711202722788E-3</v>
      </c>
      <c r="H51" s="82">
        <v>1658.08</v>
      </c>
      <c r="I51" s="169">
        <f t="shared" si="2"/>
        <v>2.5818691768656987E-2</v>
      </c>
      <c r="J51" s="83">
        <f t="shared" si="13"/>
        <v>3.8728037652985478E-3</v>
      </c>
      <c r="K51" s="230">
        <f t="shared" si="14"/>
        <v>9.8384748855708266E-3</v>
      </c>
      <c r="M51" s="84">
        <v>2382</v>
      </c>
      <c r="N51" s="85">
        <v>572</v>
      </c>
      <c r="O51" s="85">
        <v>6969</v>
      </c>
      <c r="P51" s="85">
        <v>1381</v>
      </c>
      <c r="Q51" s="86">
        <f t="shared" si="15"/>
        <v>1.3929466142391658E-3</v>
      </c>
      <c r="R51" s="86">
        <f t="shared" si="15"/>
        <v>1.6256835260279891E-3</v>
      </c>
      <c r="S51" s="86">
        <f t="shared" si="15"/>
        <v>5.2147872779843042E-3</v>
      </c>
      <c r="T51" s="86">
        <f t="shared" si="15"/>
        <v>8.8202232838566277E-3</v>
      </c>
      <c r="U51" s="268">
        <f t="shared" si="16"/>
        <v>1.7053640702108089E-2</v>
      </c>
      <c r="V51" s="269">
        <v>1795.99999997852</v>
      </c>
      <c r="W51" s="269">
        <v>775</v>
      </c>
      <c r="X51" s="269">
        <v>2276</v>
      </c>
      <c r="Y51" s="269">
        <v>675</v>
      </c>
      <c r="Z51" s="86">
        <f t="shared" si="17"/>
        <v>1.41249158482677E-3</v>
      </c>
      <c r="AA51" s="86">
        <f t="shared" si="4"/>
        <v>2.6453401054040032E-3</v>
      </c>
      <c r="AB51" s="86">
        <f t="shared" si="4"/>
        <v>4.6216576237044739E-3</v>
      </c>
      <c r="AC51" s="86">
        <f t="shared" si="4"/>
        <v>1.2294186215940551E-2</v>
      </c>
      <c r="AD51" s="80">
        <f t="shared" si="18"/>
        <v>2.09736755298758E-2</v>
      </c>
      <c r="AE51" s="270">
        <f t="shared" si="19"/>
        <v>1.782762420039443E-2</v>
      </c>
      <c r="AF51" s="169">
        <f t="shared" si="5"/>
        <v>0.22986498286451734</v>
      </c>
      <c r="AG51" s="185">
        <f t="shared" si="6"/>
        <v>0</v>
      </c>
      <c r="AH51" s="169">
        <f t="shared" si="20"/>
        <v>0</v>
      </c>
      <c r="AI51" s="81">
        <f t="shared" si="24"/>
        <v>0</v>
      </c>
      <c r="AJ51" s="230">
        <f t="shared" si="25"/>
        <v>1.782762420039443E-2</v>
      </c>
      <c r="AL51" s="93">
        <f t="shared" si="26"/>
        <v>527705.04524992441</v>
      </c>
      <c r="AM51" s="94">
        <f t="shared" si="27"/>
        <v>1375359.273207522</v>
      </c>
      <c r="AN51" s="94">
        <f t="shared" si="21"/>
        <v>2492194.0187326814</v>
      </c>
      <c r="AO51" s="94">
        <f t="shared" si="11"/>
        <v>4395258.3371901279</v>
      </c>
      <c r="AP51" s="133">
        <f t="shared" si="22"/>
        <v>7.8602441573671945E-3</v>
      </c>
    </row>
    <row r="52" spans="1:42" ht="14.25">
      <c r="A52" s="7" t="s">
        <v>46</v>
      </c>
      <c r="B52" s="140">
        <v>175418637.76999998</v>
      </c>
      <c r="C52" s="230">
        <f t="shared" si="23"/>
        <v>0.10450516421007341</v>
      </c>
      <c r="D52" s="139"/>
      <c r="E52" s="267">
        <v>443273</v>
      </c>
      <c r="F52" s="169">
        <f t="shared" si="1"/>
        <v>9.5256688681836177E-2</v>
      </c>
      <c r="G52" s="81">
        <f t="shared" si="12"/>
        <v>8.0968185379560742E-2</v>
      </c>
      <c r="H52" s="82">
        <v>60.1</v>
      </c>
      <c r="I52" s="169">
        <f t="shared" si="2"/>
        <v>9.3584349084259205E-4</v>
      </c>
      <c r="J52" s="83">
        <f t="shared" si="13"/>
        <v>1.403765236263888E-4</v>
      </c>
      <c r="K52" s="230">
        <f t="shared" si="14"/>
        <v>8.1108561903187132E-2</v>
      </c>
      <c r="M52" s="84">
        <v>40580</v>
      </c>
      <c r="N52" s="85">
        <v>5745</v>
      </c>
      <c r="O52" s="85">
        <v>2165</v>
      </c>
      <c r="P52" s="85">
        <v>472</v>
      </c>
      <c r="Q52" s="86">
        <f t="shared" si="15"/>
        <v>2.3730383545686545E-2</v>
      </c>
      <c r="R52" s="86">
        <f t="shared" si="15"/>
        <v>1.6327887861941955E-2</v>
      </c>
      <c r="S52" s="86">
        <f t="shared" si="15"/>
        <v>1.6200336428233632E-3</v>
      </c>
      <c r="T52" s="86">
        <f t="shared" si="15"/>
        <v>3.0145875380016862E-3</v>
      </c>
      <c r="U52" s="268">
        <f t="shared" si="16"/>
        <v>4.4692892588453548E-2</v>
      </c>
      <c r="V52" s="269">
        <v>18155.999999995089</v>
      </c>
      <c r="W52" s="269">
        <v>4217</v>
      </c>
      <c r="X52" s="269">
        <v>161</v>
      </c>
      <c r="Y52" s="269">
        <v>91</v>
      </c>
      <c r="Z52" s="86">
        <f t="shared" si="17"/>
        <v>1.4279063036979183E-2</v>
      </c>
      <c r="AA52" s="86">
        <f t="shared" si="4"/>
        <v>1.4394063515469267E-2</v>
      </c>
      <c r="AB52" s="86">
        <f t="shared" si="4"/>
        <v>3.2692745053445531E-4</v>
      </c>
      <c r="AC52" s="86">
        <f t="shared" si="4"/>
        <v>1.6574384380008743E-3</v>
      </c>
      <c r="AD52" s="80">
        <f t="shared" si="18"/>
        <v>3.0657492440983779E-2</v>
      </c>
      <c r="AE52" s="270">
        <f t="shared" si="19"/>
        <v>2.6058868574836212E-2</v>
      </c>
      <c r="AF52" s="169">
        <f t="shared" si="5"/>
        <v>-0.3140409880540117</v>
      </c>
      <c r="AG52" s="185">
        <f t="shared" si="6"/>
        <v>-0.3140409880540117</v>
      </c>
      <c r="AH52" s="169">
        <f t="shared" si="20"/>
        <v>5.8518530393766088E-2</v>
      </c>
      <c r="AI52" s="81">
        <f t="shared" si="24"/>
        <v>8.7777795590649136E-3</v>
      </c>
      <c r="AJ52" s="230">
        <f t="shared" si="25"/>
        <v>3.4836648133901124E-2</v>
      </c>
      <c r="AL52" s="93">
        <f t="shared" si="26"/>
        <v>29218379.548886761</v>
      </c>
      <c r="AM52" s="94">
        <f t="shared" si="27"/>
        <v>11338486.304790976</v>
      </c>
      <c r="AN52" s="94">
        <f t="shared" si="21"/>
        <v>4869952.672105493</v>
      </c>
      <c r="AO52" s="94">
        <f t="shared" si="11"/>
        <v>45426818.525783226</v>
      </c>
      <c r="AP52" s="133">
        <f t="shared" si="22"/>
        <v>8.1238884614308768E-2</v>
      </c>
    </row>
    <row r="53" spans="1:42" ht="14.25">
      <c r="A53" s="7" t="s">
        <v>47</v>
      </c>
      <c r="B53" s="140">
        <v>261281111.04000005</v>
      </c>
      <c r="C53" s="230">
        <f t="shared" si="23"/>
        <v>0.15565749319081396</v>
      </c>
      <c r="D53" s="139"/>
      <c r="E53" s="267">
        <v>122659</v>
      </c>
      <c r="F53" s="169">
        <f t="shared" si="1"/>
        <v>2.6358677783274286E-2</v>
      </c>
      <c r="G53" s="81">
        <f t="shared" si="12"/>
        <v>2.2404876115783144E-2</v>
      </c>
      <c r="H53" s="82">
        <v>72.010000000000005</v>
      </c>
      <c r="I53" s="169">
        <f t="shared" si="2"/>
        <v>1.1212993307084037E-3</v>
      </c>
      <c r="J53" s="83">
        <f t="shared" si="13"/>
        <v>1.6819489960626053E-4</v>
      </c>
      <c r="K53" s="230">
        <f t="shared" si="14"/>
        <v>2.2573071015389405E-2</v>
      </c>
      <c r="M53" s="84">
        <v>9903</v>
      </c>
      <c r="N53" s="85">
        <v>1776</v>
      </c>
      <c r="O53" s="85">
        <v>642</v>
      </c>
      <c r="P53" s="85">
        <v>85</v>
      </c>
      <c r="Q53" s="86">
        <f t="shared" si="15"/>
        <v>5.7910790599540133E-3</v>
      </c>
      <c r="R53" s="86">
        <f t="shared" si="15"/>
        <v>5.0475768220729174E-3</v>
      </c>
      <c r="S53" s="86">
        <f t="shared" si="15"/>
        <v>4.8039796706355622E-4</v>
      </c>
      <c r="T53" s="86">
        <f t="shared" si="15"/>
        <v>5.4288123036047315E-4</v>
      </c>
      <c r="U53" s="268">
        <f t="shared" si="16"/>
        <v>1.186193507945096E-2</v>
      </c>
      <c r="V53" s="269">
        <v>4908.0000000006539</v>
      </c>
      <c r="W53" s="269">
        <v>1283</v>
      </c>
      <c r="X53" s="269">
        <v>140</v>
      </c>
      <c r="Y53" s="269">
        <v>21</v>
      </c>
      <c r="Z53" s="86">
        <f t="shared" si="17"/>
        <v>3.8599714356423293E-3</v>
      </c>
      <c r="AA53" s="86">
        <f t="shared" si="4"/>
        <v>4.3793178777204334E-3</v>
      </c>
      <c r="AB53" s="86">
        <f t="shared" si="4"/>
        <v>2.8428473959517855E-4</v>
      </c>
      <c r="AC53" s="86">
        <f t="shared" si="4"/>
        <v>3.8248579338481716E-4</v>
      </c>
      <c r="AD53" s="80">
        <f t="shared" si="18"/>
        <v>8.9060598463427572E-3</v>
      </c>
      <c r="AE53" s="270">
        <f t="shared" si="19"/>
        <v>7.5701508693913431E-3</v>
      </c>
      <c r="AF53" s="169">
        <f t="shared" si="5"/>
        <v>-0.24918996886341233</v>
      </c>
      <c r="AG53" s="185">
        <f t="shared" si="6"/>
        <v>-0.24918996886341233</v>
      </c>
      <c r="AH53" s="169">
        <f t="shared" si="20"/>
        <v>4.6434164078757868E-2</v>
      </c>
      <c r="AI53" s="81">
        <f t="shared" si="24"/>
        <v>6.9651246118136801E-3</v>
      </c>
      <c r="AJ53" s="230">
        <f t="shared" si="25"/>
        <v>1.4535275481205024E-2</v>
      </c>
      <c r="AL53" s="93">
        <f t="shared" si="26"/>
        <v>43519951.861279063</v>
      </c>
      <c r="AM53" s="94">
        <f t="shared" si="27"/>
        <v>3155578.7768813791</v>
      </c>
      <c r="AN53" s="94">
        <f t="shared" si="21"/>
        <v>2031943.5841647086</v>
      </c>
      <c r="AO53" s="94">
        <f t="shared" si="11"/>
        <v>48707474.222325154</v>
      </c>
      <c r="AP53" s="133">
        <f t="shared" si="22"/>
        <v>8.710583321955559E-2</v>
      </c>
    </row>
    <row r="54" spans="1:42" ht="14.25">
      <c r="A54" s="7" t="s">
        <v>48</v>
      </c>
      <c r="B54" s="140">
        <v>52173929.359999999</v>
      </c>
      <c r="C54" s="230">
        <f t="shared" si="23"/>
        <v>3.1082472903480984E-2</v>
      </c>
      <c r="D54" s="139"/>
      <c r="E54" s="267">
        <v>268955</v>
      </c>
      <c r="F54" s="169">
        <f t="shared" si="1"/>
        <v>5.7796804011124629E-2</v>
      </c>
      <c r="G54" s="81">
        <f t="shared" si="12"/>
        <v>4.9127283409455935E-2</v>
      </c>
      <c r="H54" s="82">
        <v>885.01</v>
      </c>
      <c r="I54" s="169">
        <f t="shared" si="2"/>
        <v>1.3780879331624E-2</v>
      </c>
      <c r="J54" s="83">
        <f t="shared" si="13"/>
        <v>2.0671318997435998E-3</v>
      </c>
      <c r="K54" s="230">
        <f t="shared" si="14"/>
        <v>5.1194415309199534E-2</v>
      </c>
      <c r="M54" s="84">
        <v>25924</v>
      </c>
      <c r="N54" s="85">
        <v>5313</v>
      </c>
      <c r="O54" s="85">
        <v>11983</v>
      </c>
      <c r="P54" s="85">
        <v>721</v>
      </c>
      <c r="Q54" s="86">
        <f t="shared" si="15"/>
        <v>1.5159843840275454E-2</v>
      </c>
      <c r="R54" s="86">
        <f t="shared" si="15"/>
        <v>1.5100098905221513E-2</v>
      </c>
      <c r="S54" s="86">
        <f t="shared" si="15"/>
        <v>8.9666804350819213E-3</v>
      </c>
      <c r="T54" s="86">
        <f t="shared" si="15"/>
        <v>4.6049102010576604E-3</v>
      </c>
      <c r="U54" s="268">
        <f t="shared" si="16"/>
        <v>4.3831533381636548E-2</v>
      </c>
      <c r="V54" s="269">
        <v>21053.000000219407</v>
      </c>
      <c r="W54" s="269">
        <v>4306</v>
      </c>
      <c r="X54" s="269">
        <v>2328</v>
      </c>
      <c r="Y54" s="269">
        <v>359</v>
      </c>
      <c r="Z54" s="86">
        <f t="shared" si="17"/>
        <v>1.655745285970131E-2</v>
      </c>
      <c r="AA54" s="86">
        <f t="shared" si="4"/>
        <v>1.4697850959831791E-2</v>
      </c>
      <c r="AB54" s="86">
        <f t="shared" si="4"/>
        <v>4.7272490984112542E-3</v>
      </c>
      <c r="AC54" s="86">
        <f t="shared" si="4"/>
        <v>6.5386857059594929E-3</v>
      </c>
      <c r="AD54" s="80">
        <f t="shared" si="18"/>
        <v>4.2521238623903848E-2</v>
      </c>
      <c r="AE54" s="270">
        <f t="shared" si="19"/>
        <v>3.6143052830318267E-2</v>
      </c>
      <c r="AF54" s="169">
        <f t="shared" si="5"/>
        <v>-2.9893883618537846E-2</v>
      </c>
      <c r="AG54" s="185">
        <f t="shared" si="6"/>
        <v>-2.9893883618537846E-2</v>
      </c>
      <c r="AH54" s="169">
        <f t="shared" si="20"/>
        <v>5.5704389034027758E-3</v>
      </c>
      <c r="AI54" s="81">
        <f t="shared" si="24"/>
        <v>8.3556583551041631E-4</v>
      </c>
      <c r="AJ54" s="230">
        <f t="shared" si="25"/>
        <v>3.6978618665828682E-2</v>
      </c>
      <c r="AL54" s="93">
        <f t="shared" si="26"/>
        <v>8690283.3699806277</v>
      </c>
      <c r="AM54" s="94">
        <f t="shared" si="27"/>
        <v>7156669.5703222807</v>
      </c>
      <c r="AN54" s="94">
        <f t="shared" si="21"/>
        <v>5169387.1950664055</v>
      </c>
      <c r="AO54" s="94">
        <f t="shared" si="11"/>
        <v>21016340.135369316</v>
      </c>
      <c r="AP54" s="133">
        <f t="shared" si="22"/>
        <v>3.7584494945497551E-2</v>
      </c>
    </row>
    <row r="55" spans="1:42" ht="14.25">
      <c r="A55" s="7" t="s">
        <v>49</v>
      </c>
      <c r="B55" s="140">
        <v>14844922.76</v>
      </c>
      <c r="C55" s="230">
        <f t="shared" si="23"/>
        <v>8.8438213318799974E-3</v>
      </c>
      <c r="D55" s="139"/>
      <c r="E55" s="267">
        <v>40469</v>
      </c>
      <c r="F55" s="169">
        <f t="shared" si="1"/>
        <v>8.6965435166708287E-3</v>
      </c>
      <c r="G55" s="81">
        <f t="shared" si="12"/>
        <v>7.3920619891702042E-3</v>
      </c>
      <c r="H55" s="82">
        <v>746.48</v>
      </c>
      <c r="I55" s="169">
        <f t="shared" si="2"/>
        <v>1.1623767870951384E-2</v>
      </c>
      <c r="J55" s="83">
        <f t="shared" si="13"/>
        <v>1.7435651806427075E-3</v>
      </c>
      <c r="K55" s="230">
        <f t="shared" si="14"/>
        <v>9.1356271698129123E-3</v>
      </c>
      <c r="M55" s="84">
        <v>4577</v>
      </c>
      <c r="N55" s="85">
        <v>1003</v>
      </c>
      <c r="O55" s="85">
        <v>3403</v>
      </c>
      <c r="P55" s="85">
        <v>757</v>
      </c>
      <c r="Q55" s="86">
        <f t="shared" si="15"/>
        <v>2.6765393171169867E-3</v>
      </c>
      <c r="R55" s="86">
        <f t="shared" si="15"/>
        <v>2.8506303786819459E-3</v>
      </c>
      <c r="S55" s="86">
        <f t="shared" si="15"/>
        <v>2.5464085388119655E-3</v>
      </c>
      <c r="T55" s="86">
        <f t="shared" si="15"/>
        <v>4.8348363692103311E-3</v>
      </c>
      <c r="U55" s="268">
        <f t="shared" si="16"/>
        <v>1.2908414603821229E-2</v>
      </c>
      <c r="V55" s="269">
        <v>2792.0000000464884</v>
      </c>
      <c r="W55" s="269">
        <v>666</v>
      </c>
      <c r="X55" s="269">
        <v>1225</v>
      </c>
      <c r="Y55" s="269">
        <v>325</v>
      </c>
      <c r="Z55" s="86">
        <f t="shared" si="17"/>
        <v>2.1958109715752628E-3</v>
      </c>
      <c r="AA55" s="86">
        <f t="shared" si="4"/>
        <v>2.2732858196116983E-3</v>
      </c>
      <c r="AB55" s="86">
        <f t="shared" si="4"/>
        <v>2.4874914714578121E-3</v>
      </c>
      <c r="AC55" s="86">
        <f t="shared" si="4"/>
        <v>5.9194229928602651E-3</v>
      </c>
      <c r="AD55" s="80">
        <f t="shared" si="18"/>
        <v>1.2876011255505039E-2</v>
      </c>
      <c r="AE55" s="270">
        <f t="shared" si="19"/>
        <v>1.0944609567179282E-2</v>
      </c>
      <c r="AF55" s="169">
        <f t="shared" si="5"/>
        <v>-2.5102500431461333E-3</v>
      </c>
      <c r="AG55" s="185">
        <f t="shared" si="6"/>
        <v>-2.5102500431461333E-3</v>
      </c>
      <c r="AH55" s="169">
        <f t="shared" si="20"/>
        <v>4.6776105360022324E-4</v>
      </c>
      <c r="AI55" s="81">
        <f t="shared" si="24"/>
        <v>7.0164158040033481E-5</v>
      </c>
      <c r="AJ55" s="230">
        <f t="shared" si="25"/>
        <v>1.1014773725219315E-2</v>
      </c>
      <c r="AL55" s="93">
        <f t="shared" si="26"/>
        <v>2472625.4467002042</v>
      </c>
      <c r="AM55" s="94">
        <f t="shared" si="27"/>
        <v>1277105.4142747626</v>
      </c>
      <c r="AN55" s="94">
        <f t="shared" si="21"/>
        <v>1539798.7352166718</v>
      </c>
      <c r="AO55" s="94">
        <f t="shared" si="11"/>
        <v>5289529.5961916381</v>
      </c>
      <c r="AP55" s="133">
        <f t="shared" si="22"/>
        <v>9.4595108896980539E-3</v>
      </c>
    </row>
    <row r="56" spans="1:42" ht="14.25">
      <c r="A56" s="7" t="s">
        <v>50</v>
      </c>
      <c r="B56" s="140">
        <v>37916</v>
      </c>
      <c r="C56" s="230">
        <f t="shared" si="23"/>
        <v>2.2588351252530332E-5</v>
      </c>
      <c r="D56" s="139"/>
      <c r="E56" s="267">
        <v>1971</v>
      </c>
      <c r="F56" s="169">
        <f t="shared" si="1"/>
        <v>4.2355598782668714E-4</v>
      </c>
      <c r="G56" s="81">
        <f t="shared" si="12"/>
        <v>3.6002258965268404E-4</v>
      </c>
      <c r="H56" s="82">
        <v>1766.28</v>
      </c>
      <c r="I56" s="169">
        <f t="shared" si="2"/>
        <v>2.7503521480955966E-2</v>
      </c>
      <c r="J56" s="83">
        <f t="shared" si="13"/>
        <v>4.1255282221433947E-3</v>
      </c>
      <c r="K56" s="230">
        <f t="shared" si="14"/>
        <v>4.4855508117960788E-3</v>
      </c>
      <c r="M56" s="84">
        <v>477</v>
      </c>
      <c r="N56" s="85">
        <v>88</v>
      </c>
      <c r="O56" s="85">
        <v>1037</v>
      </c>
      <c r="P56" s="85">
        <v>127</v>
      </c>
      <c r="Q56" s="86">
        <f t="shared" si="15"/>
        <v>2.7894019101262893E-4</v>
      </c>
      <c r="R56" s="86">
        <f t="shared" si="15"/>
        <v>2.5010515785045984E-4</v>
      </c>
      <c r="S56" s="86">
        <f t="shared" si="15"/>
        <v>7.7596992499206823E-4</v>
      </c>
      <c r="T56" s="86">
        <f t="shared" si="15"/>
        <v>8.1112842653858932E-4</v>
      </c>
      <c r="U56" s="268">
        <f t="shared" si="16"/>
        <v>2.1161437003937465E-3</v>
      </c>
      <c r="V56" s="269">
        <v>265.99999999676999</v>
      </c>
      <c r="W56" s="269">
        <v>85</v>
      </c>
      <c r="X56" s="269">
        <v>641</v>
      </c>
      <c r="Y56" s="269">
        <v>46</v>
      </c>
      <c r="Z56" s="86">
        <f t="shared" si="17"/>
        <v>2.0919975588187754E-4</v>
      </c>
      <c r="AA56" s="86">
        <f t="shared" si="4"/>
        <v>2.9013407607656811E-4</v>
      </c>
      <c r="AB56" s="86">
        <f t="shared" si="4"/>
        <v>1.3016179862893531E-3</v>
      </c>
      <c r="AC56" s="86">
        <f t="shared" si="4"/>
        <v>8.3782602360483755E-4</v>
      </c>
      <c r="AD56" s="80">
        <f t="shared" si="18"/>
        <v>2.6387778418526363E-3</v>
      </c>
      <c r="AE56" s="270">
        <f t="shared" si="19"/>
        <v>2.2429611655747409E-3</v>
      </c>
      <c r="AF56" s="169">
        <f t="shared" si="5"/>
        <v>0.24697478784717899</v>
      </c>
      <c r="AG56" s="185">
        <f t="shared" si="6"/>
        <v>0</v>
      </c>
      <c r="AH56" s="169">
        <f t="shared" si="20"/>
        <v>0</v>
      </c>
      <c r="AI56" s="81">
        <f t="shared" si="24"/>
        <v>0</v>
      </c>
      <c r="AJ56" s="230">
        <f t="shared" si="25"/>
        <v>2.2429611655747409E-3</v>
      </c>
      <c r="AL56" s="93">
        <f t="shared" si="26"/>
        <v>6315.4297231981664</v>
      </c>
      <c r="AM56" s="94">
        <f t="shared" si="27"/>
        <v>627052.86908798444</v>
      </c>
      <c r="AN56" s="94">
        <f t="shared" si="21"/>
        <v>313552.40262308076</v>
      </c>
      <c r="AO56" s="94">
        <f t="shared" si="11"/>
        <v>946920.70143426338</v>
      </c>
      <c r="AP56" s="133">
        <f t="shared" si="22"/>
        <v>1.6934221699689701E-3</v>
      </c>
    </row>
    <row r="57" spans="1:42" ht="14.25">
      <c r="A57" s="7" t="s">
        <v>51</v>
      </c>
      <c r="B57" s="140">
        <v>242962</v>
      </c>
      <c r="C57" s="230">
        <f t="shared" si="23"/>
        <v>1.4474393388061172E-4</v>
      </c>
      <c r="D57" s="139"/>
      <c r="E57" s="267">
        <v>4113</v>
      </c>
      <c r="F57" s="169">
        <f t="shared" si="1"/>
        <v>8.8385884217715089E-4</v>
      </c>
      <c r="G57" s="81">
        <f t="shared" si="12"/>
        <v>7.5128001585057823E-4</v>
      </c>
      <c r="H57" s="82">
        <v>879.68</v>
      </c>
      <c r="I57" s="169">
        <f t="shared" si="2"/>
        <v>1.3697883561138291E-2</v>
      </c>
      <c r="J57" s="83">
        <f t="shared" si="13"/>
        <v>2.0546825341707436E-3</v>
      </c>
      <c r="K57" s="230">
        <f t="shared" si="14"/>
        <v>2.8059625500213218E-3</v>
      </c>
      <c r="M57" s="84">
        <v>765</v>
      </c>
      <c r="N57" s="85">
        <v>138</v>
      </c>
      <c r="O57" s="85">
        <v>1343</v>
      </c>
      <c r="P57" s="85">
        <v>81</v>
      </c>
      <c r="Q57" s="86">
        <f t="shared" si="15"/>
        <v>4.4735691011459354E-4</v>
      </c>
      <c r="R57" s="86">
        <f t="shared" si="15"/>
        <v>3.9221036117458475E-4</v>
      </c>
      <c r="S57" s="86">
        <f t="shared" si="15"/>
        <v>1.0049446569569407E-3</v>
      </c>
      <c r="T57" s="86">
        <f t="shared" si="15"/>
        <v>5.1733387834350972E-4</v>
      </c>
      <c r="U57" s="268">
        <f t="shared" si="16"/>
        <v>2.3618458065896289E-3</v>
      </c>
      <c r="V57" s="269">
        <v>609.99999999842794</v>
      </c>
      <c r="W57" s="269">
        <v>123</v>
      </c>
      <c r="X57" s="269">
        <v>468</v>
      </c>
      <c r="Y57" s="269">
        <v>34</v>
      </c>
      <c r="Z57" s="86">
        <f t="shared" si="17"/>
        <v>4.7974380108709025E-4</v>
      </c>
      <c r="AA57" s="86">
        <f t="shared" si="4"/>
        <v>4.198410747931515E-4</v>
      </c>
      <c r="AB57" s="86">
        <f t="shared" si="4"/>
        <v>9.5032327236102532E-4</v>
      </c>
      <c r="AC57" s="86">
        <f t="shared" si="4"/>
        <v>6.1926271309922776E-4</v>
      </c>
      <c r="AD57" s="80">
        <f t="shared" si="18"/>
        <v>2.4691708613404947E-3</v>
      </c>
      <c r="AE57" s="270">
        <f t="shared" si="19"/>
        <v>2.0987952321394206E-3</v>
      </c>
      <c r="AF57" s="169">
        <f t="shared" si="5"/>
        <v>4.5441177595686125E-2</v>
      </c>
      <c r="AG57" s="185">
        <f t="shared" si="6"/>
        <v>0</v>
      </c>
      <c r="AH57" s="169">
        <f t="shared" si="20"/>
        <v>0</v>
      </c>
      <c r="AI57" s="81">
        <f t="shared" si="24"/>
        <v>0</v>
      </c>
      <c r="AJ57" s="230">
        <f t="shared" si="25"/>
        <v>2.0987952321394206E-3</v>
      </c>
      <c r="AL57" s="93">
        <f t="shared" si="26"/>
        <v>40468.652716733646</v>
      </c>
      <c r="AM57" s="94">
        <f t="shared" si="27"/>
        <v>392256.59040963644</v>
      </c>
      <c r="AN57" s="94">
        <f t="shared" si="21"/>
        <v>293398.87723047292</v>
      </c>
      <c r="AO57" s="94">
        <f t="shared" si="11"/>
        <v>726124.12035684299</v>
      </c>
      <c r="AP57" s="133">
        <f t="shared" si="22"/>
        <v>1.2985614124804913E-3</v>
      </c>
    </row>
    <row r="58" spans="1:42" ht="15.75" thickBot="1">
      <c r="A58" s="11" t="s">
        <v>52</v>
      </c>
      <c r="B58" s="141">
        <f>SUM(B7:B57)</f>
        <v>1678564299.6299996</v>
      </c>
      <c r="C58" s="231">
        <f t="shared" si="23"/>
        <v>1</v>
      </c>
      <c r="D58" s="142"/>
      <c r="E58" s="271">
        <f>SUM(E7:E57)</f>
        <v>4653458</v>
      </c>
      <c r="F58" s="170">
        <f>SUM(F7:F57)</f>
        <v>0.99999999999999989</v>
      </c>
      <c r="G58" s="98">
        <f>SUM(G7:G57)</f>
        <v>0.85000000000000009</v>
      </c>
      <c r="H58" s="99">
        <f>SUM(H7:H57)</f>
        <v>64220.140000000021</v>
      </c>
      <c r="I58" s="170">
        <f t="shared" si="2"/>
        <v>1</v>
      </c>
      <c r="J58" s="100">
        <f>SUM(J7:J57)</f>
        <v>0.15</v>
      </c>
      <c r="K58" s="231">
        <f>SUM(K7:K57)</f>
        <v>1</v>
      </c>
      <c r="M58" s="101">
        <v>427511</v>
      </c>
      <c r="N58" s="102">
        <v>87963</v>
      </c>
      <c r="O58" s="102">
        <v>334098</v>
      </c>
      <c r="P58" s="102">
        <v>39143</v>
      </c>
      <c r="Q58" s="103">
        <f>SUM(Q7:Q57)</f>
        <v>0.25</v>
      </c>
      <c r="R58" s="103">
        <f t="shared" ref="R58:T58" si="28">SUM(R7:R57)</f>
        <v>0.24999999999999994</v>
      </c>
      <c r="S58" s="103">
        <f t="shared" si="28"/>
        <v>0.25</v>
      </c>
      <c r="T58" s="103">
        <f t="shared" si="28"/>
        <v>0.25</v>
      </c>
      <c r="U58" s="272">
        <f>SUM(U7:U57)</f>
        <v>1</v>
      </c>
      <c r="V58" s="273">
        <v>317877.99999509094</v>
      </c>
      <c r="W58" s="273">
        <v>73242</v>
      </c>
      <c r="X58" s="273">
        <v>123116</v>
      </c>
      <c r="Y58" s="273">
        <v>13726</v>
      </c>
      <c r="Z58" s="103">
        <f>SUM(Z7:Z57)</f>
        <v>0.24999999999999994</v>
      </c>
      <c r="AA58" s="103">
        <f t="shared" ref="AA58:AC58" si="29">SUM(AA7:AA57)</f>
        <v>0.24999999999999997</v>
      </c>
      <c r="AB58" s="103">
        <f t="shared" si="29"/>
        <v>0.24999999999999997</v>
      </c>
      <c r="AC58" s="103">
        <f t="shared" si="29"/>
        <v>0.25000000000000006</v>
      </c>
      <c r="AD58" s="272">
        <f>SUM(AD7:AD57)</f>
        <v>1.0000000000000002</v>
      </c>
      <c r="AE58" s="274">
        <f>SUM(AE7:AE57)</f>
        <v>0.85</v>
      </c>
      <c r="AF58" s="108"/>
      <c r="AG58" s="186">
        <f>SUM(AG7:AG57)</f>
        <v>-5.3665221245451189</v>
      </c>
      <c r="AH58" s="143">
        <f>SUM(AH7:AH57)</f>
        <v>1.0000000000000002</v>
      </c>
      <c r="AI58" s="98">
        <f>SUM(AI7:AI57)</f>
        <v>0.15000000000000005</v>
      </c>
      <c r="AJ58" s="231">
        <f>SUM(AJ7:AJ57)</f>
        <v>1.0000000000000002</v>
      </c>
      <c r="AL58" s="112">
        <f>SUM(AL7:AL57)</f>
        <v>279587901.41846764</v>
      </c>
      <c r="AM58" s="113">
        <f t="shared" ref="AM58:AN58" si="30">SUM(AM7:AM57)</f>
        <v>139793950.7092337</v>
      </c>
      <c r="AN58" s="113">
        <f t="shared" si="30"/>
        <v>139793950.70923373</v>
      </c>
      <c r="AO58" s="113">
        <f>SUM(AO7:AO57)</f>
        <v>559175802.83693492</v>
      </c>
      <c r="AP58" s="134">
        <f>SUM(AP7:AP57)</f>
        <v>1.0000000000000002</v>
      </c>
    </row>
    <row r="59" spans="1:42" ht="13.5" thickTop="1">
      <c r="I59" s="116"/>
      <c r="U59" s="118"/>
    </row>
    <row r="60" spans="1:42">
      <c r="A60" s="292" t="s">
        <v>118</v>
      </c>
      <c r="B60" s="292"/>
      <c r="C60" s="292"/>
      <c r="E60" s="293"/>
      <c r="F60" s="293"/>
      <c r="G60" s="293"/>
      <c r="H60" s="293"/>
      <c r="I60" s="293"/>
      <c r="J60" s="293"/>
      <c r="K60" s="293"/>
      <c r="U60" s="118"/>
    </row>
    <row r="61" spans="1:42">
      <c r="A61" s="275" t="s">
        <v>134</v>
      </c>
      <c r="B61" s="275" t="s">
        <v>134</v>
      </c>
      <c r="C61" s="275" t="s">
        <v>134</v>
      </c>
      <c r="M61" s="47"/>
      <c r="N61" s="47"/>
      <c r="O61" s="47"/>
      <c r="P61" s="47"/>
      <c r="Q61" s="47"/>
      <c r="R61" s="47"/>
      <c r="S61" s="47"/>
      <c r="T61" s="47"/>
      <c r="U61" s="118"/>
      <c r="V61" s="121"/>
      <c r="W61" s="47"/>
      <c r="X61" s="47"/>
      <c r="Y61" s="47"/>
      <c r="Z61" s="47"/>
      <c r="AA61" s="47"/>
      <c r="AB61" s="47"/>
      <c r="AC61" s="47"/>
    </row>
    <row r="62" spans="1:42" ht="12.75" customHeight="1">
      <c r="A62" s="276" t="s">
        <v>231</v>
      </c>
      <c r="B62" s="276"/>
      <c r="C62" s="276"/>
      <c r="U62" s="118"/>
    </row>
    <row r="63" spans="1:42">
      <c r="U63" s="118"/>
    </row>
    <row r="64" spans="1:42">
      <c r="U64" s="118"/>
    </row>
    <row r="65" spans="21:21">
      <c r="U65" s="118"/>
    </row>
    <row r="66" spans="21:21">
      <c r="U66" s="118"/>
    </row>
    <row r="67" spans="21:21">
      <c r="U67" s="118"/>
    </row>
    <row r="68" spans="21:21">
      <c r="U68" s="118"/>
    </row>
    <row r="69" spans="21:21">
      <c r="U69" s="118"/>
    </row>
    <row r="70" spans="21:21">
      <c r="U70" s="118"/>
    </row>
    <row r="71" spans="21:21">
      <c r="U71" s="118"/>
    </row>
    <row r="72" spans="21:21">
      <c r="U72" s="118"/>
    </row>
    <row r="73" spans="21:21">
      <c r="U73" s="118"/>
    </row>
    <row r="74" spans="21:21">
      <c r="U74" s="118"/>
    </row>
    <row r="75" spans="21:21">
      <c r="U75" s="118"/>
    </row>
    <row r="76" spans="21:21">
      <c r="U76" s="118"/>
    </row>
    <row r="77" spans="21:21">
      <c r="U77" s="118"/>
    </row>
    <row r="78" spans="21:21">
      <c r="U78" s="118"/>
    </row>
    <row r="79" spans="21:21">
      <c r="U79" s="118"/>
    </row>
    <row r="80" spans="21:21">
      <c r="U80" s="118"/>
    </row>
    <row r="81" spans="21:21">
      <c r="U81" s="118"/>
    </row>
    <row r="82" spans="21:21">
      <c r="U82" s="118"/>
    </row>
    <row r="83" spans="21:21">
      <c r="U83" s="118"/>
    </row>
    <row r="84" spans="21:21">
      <c r="U84" s="118"/>
    </row>
    <row r="85" spans="21:21">
      <c r="U85" s="118"/>
    </row>
    <row r="86" spans="21:21">
      <c r="U86" s="118"/>
    </row>
    <row r="87" spans="21:21">
      <c r="U87" s="118"/>
    </row>
  </sheetData>
  <mergeCells count="6">
    <mergeCell ref="A60:C60"/>
    <mergeCell ref="E60:K60"/>
    <mergeCell ref="A1:AP1"/>
    <mergeCell ref="B2:C2"/>
    <mergeCell ref="E2:K2"/>
    <mergeCell ref="M2:AJ2"/>
  </mergeCells>
  <printOptions horizontalCentered="1"/>
  <pageMargins left="0.19685039370078741" right="0.19685039370078741" top="7.874015748031496E-2" bottom="0.11811023622047245" header="0" footer="0.11811023622047245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65"/>
  <sheetViews>
    <sheetView zoomScaleNormal="100" zoomScaleSheetLayoutView="100" workbookViewId="0">
      <selection activeCell="C11" sqref="C11"/>
    </sheetView>
  </sheetViews>
  <sheetFormatPr baseColWidth="10" defaultColWidth="9.7109375" defaultRowHeight="12.75"/>
  <cols>
    <col min="1" max="1" width="27.28515625" style="1" customWidth="1"/>
    <col min="2" max="2" width="13" style="1" customWidth="1"/>
    <col min="3" max="3" width="13.85546875" style="1" customWidth="1"/>
    <col min="4" max="4" width="14.42578125" style="1" customWidth="1"/>
    <col min="5" max="5" width="12.42578125" style="1" customWidth="1"/>
    <col min="6" max="6" width="8.85546875" style="1" customWidth="1"/>
    <col min="7" max="7" width="16.5703125" style="1" customWidth="1"/>
    <col min="8" max="8" width="15.5703125" style="1" customWidth="1"/>
    <col min="9" max="9" width="14.42578125" style="1" customWidth="1"/>
    <col min="10" max="10" width="13.5703125" style="1" customWidth="1"/>
    <col min="11" max="11" width="17" style="1" customWidth="1"/>
    <col min="12" max="12" width="16.140625" style="1" customWidth="1"/>
    <col min="13" max="13" width="13.7109375" style="1" customWidth="1"/>
    <col min="14" max="14" width="13.5703125" style="18" customWidth="1"/>
    <col min="15" max="15" width="5.42578125" style="1" customWidth="1"/>
    <col min="16" max="16384" width="9.7109375" style="1"/>
  </cols>
  <sheetData>
    <row r="1" spans="1:14" ht="47.25" customHeight="1">
      <c r="A1" s="297" t="s">
        <v>220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8.25" customHeight="1" thickBot="1">
      <c r="B2" s="150"/>
    </row>
    <row r="3" spans="1:14" ht="62.25" customHeight="1" thickBot="1">
      <c r="A3" s="301" t="s">
        <v>0</v>
      </c>
      <c r="B3" s="299" t="s">
        <v>217</v>
      </c>
      <c r="C3" s="299" t="s">
        <v>236</v>
      </c>
      <c r="D3" s="299" t="s">
        <v>218</v>
      </c>
      <c r="E3" s="304" t="s">
        <v>237</v>
      </c>
      <c r="F3" s="305"/>
      <c r="G3" s="221" t="s">
        <v>238</v>
      </c>
      <c r="H3" s="299" t="s">
        <v>239</v>
      </c>
      <c r="I3" s="299" t="s">
        <v>240</v>
      </c>
      <c r="J3" s="299" t="s">
        <v>241</v>
      </c>
      <c r="K3" s="238" t="s">
        <v>219</v>
      </c>
      <c r="L3" s="299" t="s">
        <v>242</v>
      </c>
      <c r="M3" s="299" t="s">
        <v>243</v>
      </c>
      <c r="N3" s="299" t="s">
        <v>221</v>
      </c>
    </row>
    <row r="4" spans="1:14" ht="20.45" customHeight="1" thickBot="1">
      <c r="A4" s="302"/>
      <c r="B4" s="300"/>
      <c r="C4" s="300"/>
      <c r="D4" s="303"/>
      <c r="E4" s="306"/>
      <c r="F4" s="307"/>
      <c r="G4" s="222">
        <v>3.8038466941500371E-2</v>
      </c>
      <c r="H4" s="300"/>
      <c r="I4" s="300"/>
      <c r="J4" s="300"/>
      <c r="K4" s="277">
        <f>+H58/J58</f>
        <v>0.99999999999999811</v>
      </c>
      <c r="L4" s="300"/>
      <c r="M4" s="300"/>
      <c r="N4" s="300"/>
    </row>
    <row r="5" spans="1:14" ht="20.45" customHeight="1">
      <c r="A5" s="155"/>
      <c r="B5" s="187" t="s">
        <v>174</v>
      </c>
      <c r="C5" s="187" t="s">
        <v>174</v>
      </c>
      <c r="D5" s="188" t="s">
        <v>174</v>
      </c>
      <c r="E5" s="188" t="s">
        <v>174</v>
      </c>
      <c r="F5" s="188" t="s">
        <v>175</v>
      </c>
      <c r="G5" s="189" t="s">
        <v>174</v>
      </c>
      <c r="H5" s="187" t="s">
        <v>174</v>
      </c>
      <c r="I5" s="187" t="s">
        <v>174</v>
      </c>
      <c r="J5" s="189" t="s">
        <v>174</v>
      </c>
      <c r="K5" s="187" t="s">
        <v>174</v>
      </c>
      <c r="L5" s="187" t="s">
        <v>174</v>
      </c>
      <c r="M5" s="187"/>
      <c r="N5" s="187"/>
    </row>
    <row r="6" spans="1:14" ht="16.5" thickBot="1">
      <c r="A6" s="2"/>
      <c r="B6" s="3"/>
      <c r="C6" s="3"/>
      <c r="D6" s="4" t="s">
        <v>88</v>
      </c>
      <c r="E6" s="4"/>
      <c r="F6" s="196"/>
      <c r="G6" s="4" t="s">
        <v>172</v>
      </c>
      <c r="H6" s="4" t="s">
        <v>92</v>
      </c>
      <c r="I6" s="4" t="s">
        <v>89</v>
      </c>
      <c r="J6" s="4" t="s">
        <v>90</v>
      </c>
      <c r="K6" s="4" t="s">
        <v>91</v>
      </c>
      <c r="L6" s="4"/>
      <c r="M6" s="4"/>
      <c r="N6" s="4" t="s">
        <v>93</v>
      </c>
    </row>
    <row r="7" spans="1:14" ht="12.75" customHeight="1" thickTop="1">
      <c r="A7" s="5" t="s">
        <v>1</v>
      </c>
      <c r="B7" s="6">
        <v>9099371.8075675201</v>
      </c>
      <c r="C7" s="6">
        <f t="shared" ref="C7:C57" si="0">(+B7*G$4)+B7</f>
        <v>9445497.9612580985</v>
      </c>
      <c r="D7" s="6">
        <f>+'COEF DIST PART'!AP8+'COEF DIST GASOLINAS'!M8+'COEF DIST TEN'!AO7</f>
        <v>3733009.491521555</v>
      </c>
      <c r="E7" s="6">
        <f>+D7-C7</f>
        <v>-5712488.4697365435</v>
      </c>
      <c r="F7" s="190">
        <f>+(D7-C7)/C7</f>
        <v>-0.6047842573432376</v>
      </c>
      <c r="G7" s="6">
        <f>IF(F7&lt;0,C7,0)</f>
        <v>9445497.9612580985</v>
      </c>
      <c r="H7" s="6">
        <f>IF(F7&lt;0,G7-D7,0)</f>
        <v>5712488.4697365435</v>
      </c>
      <c r="I7" s="6">
        <f>+IF(D7&gt;C7,D7,0)</f>
        <v>0</v>
      </c>
      <c r="J7" s="6">
        <f>IF(I7=0,0,D7-C7)</f>
        <v>0</v>
      </c>
      <c r="K7" s="6">
        <f>+J7*K$4</f>
        <v>0</v>
      </c>
      <c r="L7" s="6">
        <f t="shared" ref="L7:L38" si="1">IF(H7&lt;&gt;0,D7+H7,D7-K7)</f>
        <v>9445497.9612580985</v>
      </c>
      <c r="M7" s="190">
        <f t="shared" ref="M7:M38" si="2">+(L7-B7)/B7</f>
        <v>3.8038466941500461E-2</v>
      </c>
      <c r="N7" s="146">
        <f>+L7/L$58</f>
        <v>1.5047900422778032E-3</v>
      </c>
    </row>
    <row r="8" spans="1:14" ht="12.75" customHeight="1">
      <c r="A8" s="7" t="s">
        <v>2</v>
      </c>
      <c r="B8" s="8">
        <v>18058054.627640594</v>
      </c>
      <c r="C8" s="8">
        <f t="shared" si="0"/>
        <v>18744955.341621909</v>
      </c>
      <c r="D8" s="8">
        <f>+'COEF DIST PART'!AP9+'COEF DIST GASOLINAS'!M9+'COEF DIST TEN'!AO8</f>
        <v>18995682.169101533</v>
      </c>
      <c r="E8" s="8">
        <f t="shared" ref="E8:E57" si="3">+D8-C8</f>
        <v>250726.82747962326</v>
      </c>
      <c r="F8" s="191">
        <f t="shared" ref="F8:F58" si="4">+(D8-C8)/C8</f>
        <v>1.3375696175861313E-2</v>
      </c>
      <c r="G8" s="8">
        <f t="shared" ref="G8:G57" si="5">IF(F8&lt;0,C8,0)</f>
        <v>0</v>
      </c>
      <c r="H8" s="8">
        <f t="shared" ref="H8:H57" si="6">IF(F8&lt;0,G8-D8,0)</f>
        <v>0</v>
      </c>
      <c r="I8" s="8">
        <f t="shared" ref="I8:I57" si="7">+IF(D8&gt;C8,D8,0)</f>
        <v>18995682.169101533</v>
      </c>
      <c r="J8" s="8">
        <f>IF(I8=0,0,D8-C8)</f>
        <v>250726.82747962326</v>
      </c>
      <c r="K8" s="8">
        <f t="shared" ref="K8:K57" si="8">+J8*K$4</f>
        <v>250726.82747962279</v>
      </c>
      <c r="L8" s="8">
        <f t="shared" si="1"/>
        <v>18744955.341621909</v>
      </c>
      <c r="M8" s="191">
        <f t="shared" si="2"/>
        <v>3.8038466941500426E-2</v>
      </c>
      <c r="N8" s="145">
        <f t="shared" ref="N8:N57" si="9">+L8/L$58</f>
        <v>2.986313930372993E-3</v>
      </c>
    </row>
    <row r="9" spans="1:14" ht="12.75" customHeight="1">
      <c r="A9" s="7" t="s">
        <v>3</v>
      </c>
      <c r="B9" s="8">
        <v>17669565.564291593</v>
      </c>
      <c r="C9" s="8">
        <f t="shared" si="0"/>
        <v>18341688.749879573</v>
      </c>
      <c r="D9" s="8">
        <f>+'COEF DIST PART'!AP10+'COEF DIST GASOLINAS'!M10+'COEF DIST TEN'!AO9</f>
        <v>19395334.693046652</v>
      </c>
      <c r="E9" s="8">
        <f t="shared" si="3"/>
        <v>1053645.9431670792</v>
      </c>
      <c r="F9" s="191">
        <f t="shared" si="4"/>
        <v>5.7445416151988581E-2</v>
      </c>
      <c r="G9" s="8">
        <f t="shared" si="5"/>
        <v>0</v>
      </c>
      <c r="H9" s="8">
        <f t="shared" si="6"/>
        <v>0</v>
      </c>
      <c r="I9" s="8">
        <f t="shared" si="7"/>
        <v>19395334.693046652</v>
      </c>
      <c r="J9" s="8">
        <f t="shared" ref="J9:J57" si="10">IF(I9=0,0,D9-C9)</f>
        <v>1053645.9431670792</v>
      </c>
      <c r="K9" s="8">
        <f t="shared" si="8"/>
        <v>1053645.9431670771</v>
      </c>
      <c r="L9" s="8">
        <f t="shared" si="1"/>
        <v>18341688.749879576</v>
      </c>
      <c r="M9" s="191">
        <f t="shared" si="2"/>
        <v>3.8038466941500627E-2</v>
      </c>
      <c r="N9" s="145">
        <f t="shared" si="9"/>
        <v>2.9220683443672403E-3</v>
      </c>
    </row>
    <row r="10" spans="1:14" ht="12.75" customHeight="1">
      <c r="A10" s="7" t="s">
        <v>4</v>
      </c>
      <c r="B10" s="8">
        <v>47840008.9523196</v>
      </c>
      <c r="C10" s="8">
        <f t="shared" si="0"/>
        <v>49659769.551333487</v>
      </c>
      <c r="D10" s="8">
        <f>+'COEF DIST PART'!AP11+'COEF DIST GASOLINAS'!M11+'COEF DIST TEN'!AO10</f>
        <v>49875585.597939089</v>
      </c>
      <c r="E10" s="8">
        <f t="shared" si="3"/>
        <v>215816.04660560191</v>
      </c>
      <c r="F10" s="191">
        <f t="shared" si="4"/>
        <v>4.3458930348541404E-3</v>
      </c>
      <c r="G10" s="8">
        <f t="shared" si="5"/>
        <v>0</v>
      </c>
      <c r="H10" s="8">
        <f t="shared" si="6"/>
        <v>0</v>
      </c>
      <c r="I10" s="8">
        <f t="shared" si="7"/>
        <v>49875585.597939089</v>
      </c>
      <c r="J10" s="8">
        <f t="shared" si="10"/>
        <v>215816.04660560191</v>
      </c>
      <c r="K10" s="8">
        <f t="shared" si="8"/>
        <v>215816.0466056015</v>
      </c>
      <c r="L10" s="8">
        <f t="shared" si="1"/>
        <v>49659769.551333487</v>
      </c>
      <c r="M10" s="191">
        <f t="shared" si="2"/>
        <v>3.8038466941500294E-2</v>
      </c>
      <c r="N10" s="145">
        <f t="shared" si="9"/>
        <v>7.9114438464929493E-3</v>
      </c>
    </row>
    <row r="11" spans="1:14" ht="12.75" customHeight="1">
      <c r="A11" s="7" t="s">
        <v>5</v>
      </c>
      <c r="B11" s="8">
        <v>65716194.356307641</v>
      </c>
      <c r="C11" s="8">
        <f t="shared" si="0"/>
        <v>68215937.642851263</v>
      </c>
      <c r="D11" s="8">
        <f>+'COEF DIST PART'!AP12+'COEF DIST GASOLINAS'!M12+'COEF DIST TEN'!AO11</f>
        <v>61572111.572093055</v>
      </c>
      <c r="E11" s="8">
        <f t="shared" si="3"/>
        <v>-6643826.0707582086</v>
      </c>
      <c r="F11" s="191">
        <f t="shared" si="4"/>
        <v>-9.7394044563931206E-2</v>
      </c>
      <c r="G11" s="8">
        <f t="shared" si="5"/>
        <v>68215937.642851263</v>
      </c>
      <c r="H11" s="8">
        <f t="shared" si="6"/>
        <v>6643826.0707582086</v>
      </c>
      <c r="I11" s="8">
        <f t="shared" si="7"/>
        <v>0</v>
      </c>
      <c r="J11" s="8">
        <f t="shared" si="10"/>
        <v>0</v>
      </c>
      <c r="K11" s="8">
        <f t="shared" si="8"/>
        <v>0</v>
      </c>
      <c r="L11" s="8">
        <f t="shared" si="1"/>
        <v>68215937.642851263</v>
      </c>
      <c r="M11" s="191">
        <f t="shared" si="2"/>
        <v>3.8038466941500391E-2</v>
      </c>
      <c r="N11" s="145">
        <f t="shared" si="9"/>
        <v>1.0867681525171122E-2</v>
      </c>
    </row>
    <row r="12" spans="1:14" ht="12.75" customHeight="1">
      <c r="A12" s="7" t="s">
        <v>6</v>
      </c>
      <c r="B12" s="8">
        <v>417716540.88020557</v>
      </c>
      <c r="C12" s="8">
        <f t="shared" si="0"/>
        <v>433605837.71139514</v>
      </c>
      <c r="D12" s="8">
        <f>+'COEF DIST PART'!AP13+'COEF DIST GASOLINAS'!M13+'COEF DIST TEN'!AO12</f>
        <v>428897931.30103123</v>
      </c>
      <c r="E12" s="8">
        <f t="shared" si="3"/>
        <v>-4707906.4103639126</v>
      </c>
      <c r="F12" s="191">
        <f t="shared" si="4"/>
        <v>-1.0857571556722123E-2</v>
      </c>
      <c r="G12" s="8">
        <f t="shared" si="5"/>
        <v>433605837.71139514</v>
      </c>
      <c r="H12" s="8">
        <f t="shared" si="6"/>
        <v>4707906.4103639126</v>
      </c>
      <c r="I12" s="8">
        <f t="shared" si="7"/>
        <v>0</v>
      </c>
      <c r="J12" s="8">
        <f t="shared" si="10"/>
        <v>0</v>
      </c>
      <c r="K12" s="8">
        <f t="shared" si="8"/>
        <v>0</v>
      </c>
      <c r="L12" s="8">
        <f t="shared" si="1"/>
        <v>433605837.71139514</v>
      </c>
      <c r="M12" s="191">
        <f t="shared" si="2"/>
        <v>3.8038466941500336E-2</v>
      </c>
      <c r="N12" s="145">
        <f t="shared" si="9"/>
        <v>6.907902045375322E-2</v>
      </c>
    </row>
    <row r="13" spans="1:14" ht="12.75" customHeight="1">
      <c r="A13" s="7" t="s">
        <v>7</v>
      </c>
      <c r="B13" s="8">
        <v>73256544.660574466</v>
      </c>
      <c r="C13" s="8">
        <f t="shared" si="0"/>
        <v>76043111.31289427</v>
      </c>
      <c r="D13" s="8">
        <f>+'COEF DIST PART'!AP14+'COEF DIST GASOLINAS'!M14+'COEF DIST TEN'!AO13</f>
        <v>78144287.283320889</v>
      </c>
      <c r="E13" s="8">
        <f t="shared" si="3"/>
        <v>2101175.9704266191</v>
      </c>
      <c r="F13" s="191">
        <f t="shared" si="4"/>
        <v>2.7631378229395681E-2</v>
      </c>
      <c r="G13" s="8">
        <f t="shared" si="5"/>
        <v>0</v>
      </c>
      <c r="H13" s="8">
        <f t="shared" si="6"/>
        <v>0</v>
      </c>
      <c r="I13" s="8">
        <f t="shared" si="7"/>
        <v>78144287.283320889</v>
      </c>
      <c r="J13" s="8">
        <f t="shared" si="10"/>
        <v>2101175.9704266191</v>
      </c>
      <c r="K13" s="8">
        <f t="shared" si="8"/>
        <v>2101175.9704266149</v>
      </c>
      <c r="L13" s="8">
        <f t="shared" si="1"/>
        <v>76043111.31289427</v>
      </c>
      <c r="M13" s="191">
        <f t="shared" si="2"/>
        <v>3.8038466941500322E-2</v>
      </c>
      <c r="N13" s="145">
        <f t="shared" si="9"/>
        <v>1.2114651568060308E-2</v>
      </c>
    </row>
    <row r="14" spans="1:14" ht="12.75" customHeight="1">
      <c r="A14" s="7" t="s">
        <v>8</v>
      </c>
      <c r="B14" s="8">
        <v>11899293.868146246</v>
      </c>
      <c r="C14" s="8">
        <f t="shared" si="0"/>
        <v>12351924.764576925</v>
      </c>
      <c r="D14" s="8">
        <f>+'COEF DIST PART'!AP15+'COEF DIST GASOLINAS'!M15+'COEF DIST TEN'!AO14</f>
        <v>10456826.723351685</v>
      </c>
      <c r="E14" s="8">
        <f t="shared" si="3"/>
        <v>-1895098.0412252396</v>
      </c>
      <c r="F14" s="191">
        <f t="shared" si="4"/>
        <v>-0.15342532255863769</v>
      </c>
      <c r="G14" s="8">
        <f t="shared" si="5"/>
        <v>12351924.764576925</v>
      </c>
      <c r="H14" s="8">
        <f t="shared" si="6"/>
        <v>1895098.0412252396</v>
      </c>
      <c r="I14" s="8">
        <f t="shared" si="7"/>
        <v>0</v>
      </c>
      <c r="J14" s="8">
        <f t="shared" si="10"/>
        <v>0</v>
      </c>
      <c r="K14" s="8">
        <f t="shared" si="8"/>
        <v>0</v>
      </c>
      <c r="L14" s="8">
        <f t="shared" si="1"/>
        <v>12351924.764576925</v>
      </c>
      <c r="M14" s="191">
        <f t="shared" si="2"/>
        <v>3.8038466941500336E-2</v>
      </c>
      <c r="N14" s="145">
        <f t="shared" si="9"/>
        <v>1.9678214388417739E-3</v>
      </c>
    </row>
    <row r="15" spans="1:14" ht="12.75" customHeight="1">
      <c r="A15" s="7" t="s">
        <v>9</v>
      </c>
      <c r="B15" s="8">
        <v>118593283.20492877</v>
      </c>
      <c r="C15" s="8">
        <f t="shared" si="0"/>
        <v>123104389.88760345</v>
      </c>
      <c r="D15" s="8">
        <f>+'COEF DIST PART'!AP16+'COEF DIST GASOLINAS'!M16+'COEF DIST TEN'!AO15</f>
        <v>100782059.71420376</v>
      </c>
      <c r="E15" s="8">
        <f t="shared" si="3"/>
        <v>-22322330.173399687</v>
      </c>
      <c r="F15" s="191">
        <f t="shared" si="4"/>
        <v>-0.18132846597737401</v>
      </c>
      <c r="G15" s="8">
        <f t="shared" si="5"/>
        <v>123104389.88760345</v>
      </c>
      <c r="H15" s="8">
        <f t="shared" si="6"/>
        <v>22322330.173399687</v>
      </c>
      <c r="I15" s="8">
        <f t="shared" si="7"/>
        <v>0</v>
      </c>
      <c r="J15" s="8">
        <f t="shared" si="10"/>
        <v>0</v>
      </c>
      <c r="K15" s="8">
        <f t="shared" si="8"/>
        <v>0</v>
      </c>
      <c r="L15" s="8">
        <f t="shared" si="1"/>
        <v>123104389.88760345</v>
      </c>
      <c r="M15" s="191">
        <f t="shared" si="2"/>
        <v>3.8038466941500385E-2</v>
      </c>
      <c r="N15" s="145">
        <f t="shared" si="9"/>
        <v>1.9612122179620477E-2</v>
      </c>
    </row>
    <row r="16" spans="1:14" ht="12.75" customHeight="1">
      <c r="A16" s="7" t="s">
        <v>10</v>
      </c>
      <c r="B16" s="8">
        <v>16912829.892564181</v>
      </c>
      <c r="C16" s="8">
        <f t="shared" si="0"/>
        <v>17556168.013319705</v>
      </c>
      <c r="D16" s="8">
        <f>+'COEF DIST PART'!AP17+'COEF DIST GASOLINAS'!M17+'COEF DIST TEN'!AO16</f>
        <v>17349387.394006163</v>
      </c>
      <c r="E16" s="8">
        <f t="shared" si="3"/>
        <v>-206780.6193135418</v>
      </c>
      <c r="F16" s="191">
        <f t="shared" si="4"/>
        <v>-1.1778231967059054E-2</v>
      </c>
      <c r="G16" s="8">
        <f t="shared" si="5"/>
        <v>17556168.013319705</v>
      </c>
      <c r="H16" s="8">
        <f t="shared" si="6"/>
        <v>206780.6193135418</v>
      </c>
      <c r="I16" s="8">
        <f t="shared" si="7"/>
        <v>0</v>
      </c>
      <c r="J16" s="8">
        <f t="shared" si="10"/>
        <v>0</v>
      </c>
      <c r="K16" s="8">
        <f t="shared" si="8"/>
        <v>0</v>
      </c>
      <c r="L16" s="8">
        <f t="shared" si="1"/>
        <v>17556168.013319705</v>
      </c>
      <c r="M16" s="191">
        <f t="shared" si="2"/>
        <v>3.8038466941500461E-2</v>
      </c>
      <c r="N16" s="145">
        <f t="shared" si="9"/>
        <v>2.796924727034801E-3</v>
      </c>
    </row>
    <row r="17" spans="1:14" s="9" customFormat="1" ht="12.75" customHeight="1">
      <c r="A17" s="7" t="s">
        <v>11</v>
      </c>
      <c r="B17" s="8">
        <v>23847270.758633494</v>
      </c>
      <c r="C17" s="8">
        <f t="shared" si="0"/>
        <v>24754384.379030783</v>
      </c>
      <c r="D17" s="8">
        <f>+'COEF DIST PART'!AP18+'COEF DIST GASOLINAS'!M18+'COEF DIST TEN'!AO17</f>
        <v>24439884.367886752</v>
      </c>
      <c r="E17" s="8">
        <f t="shared" si="3"/>
        <v>-314500.01114403084</v>
      </c>
      <c r="F17" s="191">
        <f t="shared" si="4"/>
        <v>-1.2704820541222628E-2</v>
      </c>
      <c r="G17" s="8">
        <f t="shared" si="5"/>
        <v>24754384.379030783</v>
      </c>
      <c r="H17" s="8">
        <f t="shared" si="6"/>
        <v>314500.01114403084</v>
      </c>
      <c r="I17" s="8">
        <f t="shared" si="7"/>
        <v>0</v>
      </c>
      <c r="J17" s="8">
        <f t="shared" si="10"/>
        <v>0</v>
      </c>
      <c r="K17" s="8">
        <f t="shared" si="8"/>
        <v>0</v>
      </c>
      <c r="L17" s="8">
        <f t="shared" si="1"/>
        <v>24754384.379030783</v>
      </c>
      <c r="M17" s="191">
        <f t="shared" si="2"/>
        <v>3.8038466941500357E-2</v>
      </c>
      <c r="N17" s="145">
        <f t="shared" si="9"/>
        <v>3.943693733148736E-3</v>
      </c>
    </row>
    <row r="18" spans="1:14" ht="12.75" customHeight="1">
      <c r="A18" s="7" t="s">
        <v>12</v>
      </c>
      <c r="B18" s="8">
        <v>60189970.470035255</v>
      </c>
      <c r="C18" s="8">
        <f t="shared" si="0"/>
        <v>62479504.671969578</v>
      </c>
      <c r="D18" s="8">
        <f>+'COEF DIST PART'!AP19+'COEF DIST GASOLINAS'!M19+'COEF DIST TEN'!AO18</f>
        <v>57542252.671675339</v>
      </c>
      <c r="E18" s="8">
        <f t="shared" si="3"/>
        <v>-4937252.0002942383</v>
      </c>
      <c r="F18" s="191">
        <f t="shared" si="4"/>
        <v>-7.9021945295754834E-2</v>
      </c>
      <c r="G18" s="8">
        <f t="shared" si="5"/>
        <v>62479504.671969578</v>
      </c>
      <c r="H18" s="8">
        <f t="shared" si="6"/>
        <v>4937252.0002942383</v>
      </c>
      <c r="I18" s="8">
        <f t="shared" si="7"/>
        <v>0</v>
      </c>
      <c r="J18" s="8">
        <f t="shared" si="10"/>
        <v>0</v>
      </c>
      <c r="K18" s="8">
        <f t="shared" si="8"/>
        <v>0</v>
      </c>
      <c r="L18" s="8">
        <f t="shared" si="1"/>
        <v>62479504.671969578</v>
      </c>
      <c r="M18" s="191">
        <f t="shared" si="2"/>
        <v>3.8038466941500426E-2</v>
      </c>
      <c r="N18" s="145">
        <f t="shared" si="9"/>
        <v>9.9537935281398815E-3</v>
      </c>
    </row>
    <row r="19" spans="1:14" ht="12.75" customHeight="1">
      <c r="A19" s="7" t="s">
        <v>13</v>
      </c>
      <c r="B19" s="8">
        <v>30608091.518676318</v>
      </c>
      <c r="C19" s="8">
        <f t="shared" si="0"/>
        <v>31772376.396051906</v>
      </c>
      <c r="D19" s="8">
        <f>+'COEF DIST PART'!AP20+'COEF DIST GASOLINAS'!M20+'COEF DIST TEN'!AO19</f>
        <v>26433059.243052468</v>
      </c>
      <c r="E19" s="8">
        <f t="shared" si="3"/>
        <v>-5339317.1529994383</v>
      </c>
      <c r="F19" s="191">
        <f t="shared" si="4"/>
        <v>-0.16804903374060845</v>
      </c>
      <c r="G19" s="8">
        <f t="shared" si="5"/>
        <v>31772376.396051906</v>
      </c>
      <c r="H19" s="8">
        <f t="shared" si="6"/>
        <v>5339317.1529994383</v>
      </c>
      <c r="I19" s="8">
        <f t="shared" si="7"/>
        <v>0</v>
      </c>
      <c r="J19" s="8">
        <f t="shared" si="10"/>
        <v>0</v>
      </c>
      <c r="K19" s="8">
        <f t="shared" si="8"/>
        <v>0</v>
      </c>
      <c r="L19" s="8">
        <f t="shared" si="1"/>
        <v>31772376.396051906</v>
      </c>
      <c r="M19" s="191">
        <f t="shared" si="2"/>
        <v>3.8038466941500398E-2</v>
      </c>
      <c r="N19" s="145">
        <f t="shared" si="9"/>
        <v>5.0617506685600982E-3</v>
      </c>
    </row>
    <row r="20" spans="1:14" ht="12.75" customHeight="1">
      <c r="A20" s="7" t="s">
        <v>14</v>
      </c>
      <c r="B20" s="8">
        <v>159869664.46037173</v>
      </c>
      <c r="C20" s="8">
        <f t="shared" si="0"/>
        <v>165950861.40689635</v>
      </c>
      <c r="D20" s="8">
        <f>+'COEF DIST PART'!AP21+'COEF DIST GASOLINAS'!M21+'COEF DIST TEN'!AO20</f>
        <v>175584682.22180384</v>
      </c>
      <c r="E20" s="8">
        <f t="shared" si="3"/>
        <v>9633820.8149074912</v>
      </c>
      <c r="F20" s="191">
        <f t="shared" si="4"/>
        <v>5.8052249522744223E-2</v>
      </c>
      <c r="G20" s="8">
        <f t="shared" si="5"/>
        <v>0</v>
      </c>
      <c r="H20" s="8">
        <f t="shared" si="6"/>
        <v>0</v>
      </c>
      <c r="I20" s="8">
        <f t="shared" si="7"/>
        <v>175584682.22180384</v>
      </c>
      <c r="J20" s="8">
        <f t="shared" si="10"/>
        <v>9633820.8149074912</v>
      </c>
      <c r="K20" s="8">
        <f t="shared" si="8"/>
        <v>9633820.8149074726</v>
      </c>
      <c r="L20" s="8">
        <f t="shared" si="1"/>
        <v>165950861.40689638</v>
      </c>
      <c r="M20" s="191">
        <f t="shared" si="2"/>
        <v>3.8038466941500641E-2</v>
      </c>
      <c r="N20" s="145">
        <f t="shared" si="9"/>
        <v>2.6438119491082893E-2</v>
      </c>
    </row>
    <row r="21" spans="1:14" ht="12.75" customHeight="1">
      <c r="A21" s="7" t="s">
        <v>15</v>
      </c>
      <c r="B21" s="8">
        <v>19987748.887406509</v>
      </c>
      <c r="C21" s="8">
        <f t="shared" si="0"/>
        <v>20748052.212695133</v>
      </c>
      <c r="D21" s="8">
        <f>+'COEF DIST PART'!AP22+'COEF DIST GASOLINAS'!M22+'COEF DIST TEN'!AO21</f>
        <v>21924285.339697957</v>
      </c>
      <c r="E21" s="8">
        <f t="shared" si="3"/>
        <v>1176233.1270028241</v>
      </c>
      <c r="F21" s="191">
        <f t="shared" si="4"/>
        <v>5.6691255398090869E-2</v>
      </c>
      <c r="G21" s="8">
        <f t="shared" si="5"/>
        <v>0</v>
      </c>
      <c r="H21" s="8">
        <f t="shared" si="6"/>
        <v>0</v>
      </c>
      <c r="I21" s="8">
        <f t="shared" si="7"/>
        <v>21924285.339697957</v>
      </c>
      <c r="J21" s="8">
        <f t="shared" si="10"/>
        <v>1176233.1270028241</v>
      </c>
      <c r="K21" s="8">
        <f t="shared" si="8"/>
        <v>1176233.1270028218</v>
      </c>
      <c r="L21" s="8">
        <f t="shared" si="1"/>
        <v>20748052.212695137</v>
      </c>
      <c r="M21" s="191">
        <f t="shared" si="2"/>
        <v>3.8038466941500572E-2</v>
      </c>
      <c r="N21" s="145">
        <f t="shared" si="9"/>
        <v>3.3054331803767626E-3</v>
      </c>
    </row>
    <row r="22" spans="1:14" ht="12.75" customHeight="1">
      <c r="A22" s="7" t="s">
        <v>16</v>
      </c>
      <c r="B22" s="8">
        <v>14886280.164852329</v>
      </c>
      <c r="C22" s="8">
        <f t="shared" si="0"/>
        <v>15452531.440784976</v>
      </c>
      <c r="D22" s="8">
        <f>+'COEF DIST PART'!AP23+'COEF DIST GASOLINAS'!M23+'COEF DIST TEN'!AO22</f>
        <v>9599635.0469855852</v>
      </c>
      <c r="E22" s="8">
        <f t="shared" si="3"/>
        <v>-5852896.3937993906</v>
      </c>
      <c r="F22" s="191">
        <f t="shared" si="4"/>
        <v>-0.37876618573649501</v>
      </c>
      <c r="G22" s="8">
        <f t="shared" si="5"/>
        <v>15452531.440784976</v>
      </c>
      <c r="H22" s="8">
        <f t="shared" si="6"/>
        <v>5852896.3937993906</v>
      </c>
      <c r="I22" s="8">
        <f t="shared" si="7"/>
        <v>0</v>
      </c>
      <c r="J22" s="8">
        <f t="shared" si="10"/>
        <v>0</v>
      </c>
      <c r="K22" s="8">
        <f t="shared" si="8"/>
        <v>0</v>
      </c>
      <c r="L22" s="8">
        <f t="shared" si="1"/>
        <v>15452531.440784976</v>
      </c>
      <c r="M22" s="191">
        <f t="shared" si="2"/>
        <v>3.8038466941500322E-2</v>
      </c>
      <c r="N22" s="145">
        <f t="shared" si="9"/>
        <v>2.4617882016863763E-3</v>
      </c>
    </row>
    <row r="23" spans="1:14" ht="12.75" customHeight="1">
      <c r="A23" s="7" t="s">
        <v>17</v>
      </c>
      <c r="B23" s="8">
        <v>130825817.65347265</v>
      </c>
      <c r="C23" s="8">
        <f t="shared" si="0"/>
        <v>135802231.19337901</v>
      </c>
      <c r="D23" s="8">
        <f>+'COEF DIST PART'!AP24+'COEF DIST GASOLINAS'!M24+'COEF DIST TEN'!AO23</f>
        <v>138982621.01155484</v>
      </c>
      <c r="E23" s="8">
        <f t="shared" si="3"/>
        <v>3180389.8181758225</v>
      </c>
      <c r="F23" s="191">
        <f t="shared" si="4"/>
        <v>2.3419275149073406E-2</v>
      </c>
      <c r="G23" s="8">
        <f t="shared" si="5"/>
        <v>0</v>
      </c>
      <c r="H23" s="8">
        <f t="shared" si="6"/>
        <v>0</v>
      </c>
      <c r="I23" s="8">
        <f t="shared" si="7"/>
        <v>138982621.01155484</v>
      </c>
      <c r="J23" s="8">
        <f t="shared" si="10"/>
        <v>3180389.8181758225</v>
      </c>
      <c r="K23" s="8">
        <f t="shared" si="8"/>
        <v>3180389.8181758164</v>
      </c>
      <c r="L23" s="8">
        <f t="shared" si="1"/>
        <v>135802231.19337901</v>
      </c>
      <c r="M23" s="191">
        <f t="shared" si="2"/>
        <v>3.8038466941500315E-2</v>
      </c>
      <c r="N23" s="145">
        <f t="shared" si="9"/>
        <v>2.1635052599353458E-2</v>
      </c>
    </row>
    <row r="24" spans="1:14" ht="12.75" customHeight="1">
      <c r="A24" s="7" t="s">
        <v>18</v>
      </c>
      <c r="B24" s="8">
        <v>134019584.53700072</v>
      </c>
      <c r="C24" s="8">
        <f t="shared" si="0"/>
        <v>139117484.07292503</v>
      </c>
      <c r="D24" s="8">
        <f>+'COEF DIST PART'!AP25+'COEF DIST GASOLINAS'!M25+'COEF DIST TEN'!AO24</f>
        <v>144802676.2579571</v>
      </c>
      <c r="E24" s="8">
        <f t="shared" si="3"/>
        <v>5685192.1850320697</v>
      </c>
      <c r="F24" s="191">
        <f t="shared" si="4"/>
        <v>4.0866122780454442E-2</v>
      </c>
      <c r="G24" s="8">
        <f t="shared" si="5"/>
        <v>0</v>
      </c>
      <c r="H24" s="8">
        <f t="shared" si="6"/>
        <v>0</v>
      </c>
      <c r="I24" s="8">
        <f t="shared" si="7"/>
        <v>144802676.2579571</v>
      </c>
      <c r="J24" s="8">
        <f t="shared" si="10"/>
        <v>5685192.1850320697</v>
      </c>
      <c r="K24" s="8">
        <f t="shared" si="8"/>
        <v>5685192.1850320585</v>
      </c>
      <c r="L24" s="8">
        <f t="shared" si="1"/>
        <v>139117484.07292503</v>
      </c>
      <c r="M24" s="191">
        <f t="shared" si="2"/>
        <v>3.8038466941500364E-2</v>
      </c>
      <c r="N24" s="145">
        <f t="shared" si="9"/>
        <v>2.2163215279736821E-2</v>
      </c>
    </row>
    <row r="25" spans="1:14" ht="12.75" customHeight="1">
      <c r="A25" s="7" t="s">
        <v>19</v>
      </c>
      <c r="B25" s="8">
        <v>25116578.898126554</v>
      </c>
      <c r="C25" s="8">
        <f t="shared" si="0"/>
        <v>26071975.054226525</v>
      </c>
      <c r="D25" s="8">
        <f>+'COEF DIST PART'!AP26+'COEF DIST GASOLINAS'!M26+'COEF DIST TEN'!AO25</f>
        <v>22717282.968321972</v>
      </c>
      <c r="E25" s="8">
        <f t="shared" si="3"/>
        <v>-3354692.0859045535</v>
      </c>
      <c r="F25" s="191">
        <f t="shared" si="4"/>
        <v>-0.12867042404448467</v>
      </c>
      <c r="G25" s="8">
        <f t="shared" si="5"/>
        <v>26071975.054226525</v>
      </c>
      <c r="H25" s="8">
        <f t="shared" si="6"/>
        <v>3354692.0859045535</v>
      </c>
      <c r="I25" s="8">
        <f t="shared" si="7"/>
        <v>0</v>
      </c>
      <c r="J25" s="8">
        <f t="shared" si="10"/>
        <v>0</v>
      </c>
      <c r="K25" s="8">
        <f t="shared" si="8"/>
        <v>0</v>
      </c>
      <c r="L25" s="8">
        <f t="shared" si="1"/>
        <v>26071975.054226525</v>
      </c>
      <c r="M25" s="191">
        <f t="shared" si="2"/>
        <v>3.8038466941500315E-2</v>
      </c>
      <c r="N25" s="145">
        <f t="shared" si="9"/>
        <v>4.1536029762574552E-3</v>
      </c>
    </row>
    <row r="26" spans="1:14" ht="12.75" customHeight="1">
      <c r="A26" s="7" t="s">
        <v>20</v>
      </c>
      <c r="B26" s="8">
        <v>342265402.37106651</v>
      </c>
      <c r="C26" s="8">
        <f t="shared" si="0"/>
        <v>355284653.56437767</v>
      </c>
      <c r="D26" s="8">
        <f>+'COEF DIST PART'!AP27+'COEF DIST GASOLINAS'!M27+'COEF DIST TEN'!AO26</f>
        <v>345177940.2906931</v>
      </c>
      <c r="E26" s="8">
        <f t="shared" si="3"/>
        <v>-10106713.273684561</v>
      </c>
      <c r="F26" s="191">
        <f t="shared" si="4"/>
        <v>-2.8446805040097861E-2</v>
      </c>
      <c r="G26" s="8">
        <f t="shared" si="5"/>
        <v>355284653.56437767</v>
      </c>
      <c r="H26" s="8">
        <f t="shared" si="6"/>
        <v>10106713.273684561</v>
      </c>
      <c r="I26" s="8">
        <f t="shared" si="7"/>
        <v>0</v>
      </c>
      <c r="J26" s="8">
        <f t="shared" si="10"/>
        <v>0</v>
      </c>
      <c r="K26" s="8">
        <f t="shared" si="8"/>
        <v>0</v>
      </c>
      <c r="L26" s="8">
        <f t="shared" si="1"/>
        <v>355284653.56437767</v>
      </c>
      <c r="M26" s="191">
        <f t="shared" si="2"/>
        <v>3.8038466941500426E-2</v>
      </c>
      <c r="N26" s="145">
        <f t="shared" si="9"/>
        <v>5.6601442406810316E-2</v>
      </c>
    </row>
    <row r="27" spans="1:14" s="9" customFormat="1" ht="12.75" customHeight="1">
      <c r="A27" s="7" t="s">
        <v>21</v>
      </c>
      <c r="B27" s="8">
        <v>50726727.021119341</v>
      </c>
      <c r="C27" s="8">
        <f t="shared" si="0"/>
        <v>52656293.949962705</v>
      </c>
      <c r="D27" s="8">
        <f>+'COEF DIST PART'!AP28+'COEF DIST GASOLINAS'!M28+'COEF DIST TEN'!AO27</f>
        <v>49970923.347473331</v>
      </c>
      <c r="E27" s="8">
        <f t="shared" si="3"/>
        <v>-2685370.6024893746</v>
      </c>
      <c r="F27" s="191">
        <f t="shared" si="4"/>
        <v>-5.0998093505045784E-2</v>
      </c>
      <c r="G27" s="8">
        <f t="shared" si="5"/>
        <v>52656293.949962705</v>
      </c>
      <c r="H27" s="8">
        <f t="shared" si="6"/>
        <v>2685370.6024893746</v>
      </c>
      <c r="I27" s="8">
        <f t="shared" si="7"/>
        <v>0</v>
      </c>
      <c r="J27" s="8">
        <f t="shared" si="10"/>
        <v>0</v>
      </c>
      <c r="K27" s="8">
        <f t="shared" si="8"/>
        <v>0</v>
      </c>
      <c r="L27" s="8">
        <f t="shared" si="1"/>
        <v>52656293.949962705</v>
      </c>
      <c r="M27" s="191">
        <f t="shared" si="2"/>
        <v>3.8038466941500419E-2</v>
      </c>
      <c r="N27" s="145">
        <f t="shared" si="9"/>
        <v>8.3888289557793559E-3</v>
      </c>
    </row>
    <row r="28" spans="1:14" ht="12.75" customHeight="1">
      <c r="A28" s="7" t="s">
        <v>22</v>
      </c>
      <c r="B28" s="8">
        <v>8107290.2498756843</v>
      </c>
      <c r="C28" s="8">
        <f t="shared" si="0"/>
        <v>8415679.142030729</v>
      </c>
      <c r="D28" s="8">
        <f>+'COEF DIST PART'!AP29+'COEF DIST GASOLINAS'!M29+'COEF DIST TEN'!AO28</f>
        <v>4592810.2682448085</v>
      </c>
      <c r="E28" s="8">
        <f t="shared" si="3"/>
        <v>-3822868.8737859204</v>
      </c>
      <c r="F28" s="191">
        <f t="shared" si="4"/>
        <v>-0.45425554007795149</v>
      </c>
      <c r="G28" s="8">
        <f t="shared" si="5"/>
        <v>8415679.142030729</v>
      </c>
      <c r="H28" s="8">
        <f t="shared" si="6"/>
        <v>3822868.8737859204</v>
      </c>
      <c r="I28" s="8">
        <f t="shared" si="7"/>
        <v>0</v>
      </c>
      <c r="J28" s="8">
        <f t="shared" si="10"/>
        <v>0</v>
      </c>
      <c r="K28" s="8">
        <f t="shared" si="8"/>
        <v>0</v>
      </c>
      <c r="L28" s="8">
        <f t="shared" si="1"/>
        <v>8415679.142030729</v>
      </c>
      <c r="M28" s="191">
        <f t="shared" si="2"/>
        <v>3.8038466941500398E-2</v>
      </c>
      <c r="N28" s="145">
        <f t="shared" si="9"/>
        <v>1.340726579358245E-3</v>
      </c>
    </row>
    <row r="29" spans="1:14" ht="12.75" customHeight="1">
      <c r="A29" s="7" t="s">
        <v>23</v>
      </c>
      <c r="B29" s="8">
        <v>37224067.635398321</v>
      </c>
      <c r="C29" s="8">
        <f t="shared" si="0"/>
        <v>38640014.101575591</v>
      </c>
      <c r="D29" s="8">
        <f>+'COEF DIST PART'!AP30+'COEF DIST GASOLINAS'!M30+'COEF DIST TEN'!AO29</f>
        <v>38569756.953487724</v>
      </c>
      <c r="E29" s="8">
        <f t="shared" si="3"/>
        <v>-70257.148087866604</v>
      </c>
      <c r="F29" s="191">
        <f t="shared" si="4"/>
        <v>-1.8182485105511851E-3</v>
      </c>
      <c r="G29" s="8">
        <f t="shared" si="5"/>
        <v>38640014.101575591</v>
      </c>
      <c r="H29" s="8">
        <f t="shared" si="6"/>
        <v>70257.148087866604</v>
      </c>
      <c r="I29" s="8">
        <f t="shared" si="7"/>
        <v>0</v>
      </c>
      <c r="J29" s="8">
        <f t="shared" si="10"/>
        <v>0</v>
      </c>
      <c r="K29" s="8">
        <f t="shared" si="8"/>
        <v>0</v>
      </c>
      <c r="L29" s="8">
        <f t="shared" si="1"/>
        <v>38640014.101575591</v>
      </c>
      <c r="M29" s="191">
        <f t="shared" si="2"/>
        <v>3.8038466941500287E-2</v>
      </c>
      <c r="N29" s="145">
        <f t="shared" si="9"/>
        <v>6.155854216687605E-3</v>
      </c>
    </row>
    <row r="30" spans="1:14" ht="12.75" customHeight="1">
      <c r="A30" s="7" t="s">
        <v>24</v>
      </c>
      <c r="B30" s="8">
        <v>35853166.876126818</v>
      </c>
      <c r="C30" s="8">
        <f t="shared" si="0"/>
        <v>37216966.379092462</v>
      </c>
      <c r="D30" s="8">
        <f>+'COEF DIST PART'!AP31+'COEF DIST GASOLINAS'!M31+'COEF DIST TEN'!AO30</f>
        <v>38836793.313926958</v>
      </c>
      <c r="E30" s="8">
        <f t="shared" si="3"/>
        <v>1619826.9348344952</v>
      </c>
      <c r="F30" s="191">
        <f t="shared" si="4"/>
        <v>4.352388419665694E-2</v>
      </c>
      <c r="G30" s="8">
        <f t="shared" si="5"/>
        <v>0</v>
      </c>
      <c r="H30" s="8">
        <f t="shared" si="6"/>
        <v>0</v>
      </c>
      <c r="I30" s="8">
        <f t="shared" si="7"/>
        <v>38836793.313926958</v>
      </c>
      <c r="J30" s="8">
        <f t="shared" si="10"/>
        <v>1619826.9348344952</v>
      </c>
      <c r="K30" s="8">
        <f t="shared" si="8"/>
        <v>1619826.9348344922</v>
      </c>
      <c r="L30" s="8">
        <f t="shared" si="1"/>
        <v>37216966.379092462</v>
      </c>
      <c r="M30" s="191">
        <f t="shared" si="2"/>
        <v>3.8038466941500315E-2</v>
      </c>
      <c r="N30" s="145">
        <f t="shared" si="9"/>
        <v>5.9291443014177179E-3</v>
      </c>
    </row>
    <row r="31" spans="1:14" ht="12.75" customHeight="1">
      <c r="A31" s="7" t="s">
        <v>25</v>
      </c>
      <c r="B31" s="8">
        <v>578626903.66248262</v>
      </c>
      <c r="C31" s="8">
        <f t="shared" si="0"/>
        <v>600636984.00891066</v>
      </c>
      <c r="D31" s="8">
        <f>+'COEF DIST PART'!AP32+'COEF DIST GASOLINAS'!M32+'COEF DIST TEN'!AO31</f>
        <v>584381351.29656065</v>
      </c>
      <c r="E31" s="8">
        <f t="shared" si="3"/>
        <v>-16255632.712350011</v>
      </c>
      <c r="F31" s="191">
        <f t="shared" si="4"/>
        <v>-2.7063988973594161E-2</v>
      </c>
      <c r="G31" s="8">
        <f t="shared" si="5"/>
        <v>600636984.00891066</v>
      </c>
      <c r="H31" s="8">
        <f t="shared" si="6"/>
        <v>16255632.712350011</v>
      </c>
      <c r="I31" s="8">
        <f t="shared" si="7"/>
        <v>0</v>
      </c>
      <c r="J31" s="8">
        <f t="shared" si="10"/>
        <v>0</v>
      </c>
      <c r="K31" s="8">
        <f t="shared" si="8"/>
        <v>0</v>
      </c>
      <c r="L31" s="8">
        <f t="shared" si="1"/>
        <v>600636984.00891066</v>
      </c>
      <c r="M31" s="191">
        <f t="shared" si="2"/>
        <v>3.8038466941500322E-2</v>
      </c>
      <c r="N31" s="145">
        <f t="shared" si="9"/>
        <v>9.5689243305918242E-2</v>
      </c>
    </row>
    <row r="32" spans="1:14" ht="12.75" customHeight="1">
      <c r="A32" s="7" t="s">
        <v>26</v>
      </c>
      <c r="B32" s="8">
        <v>15106275.911102165</v>
      </c>
      <c r="C32" s="8">
        <f t="shared" si="0"/>
        <v>15680895.487955807</v>
      </c>
      <c r="D32" s="8">
        <f>+'COEF DIST PART'!AP33+'COEF DIST GASOLINAS'!M33+'COEF DIST TEN'!AO32</f>
        <v>10635805.951284822</v>
      </c>
      <c r="E32" s="8">
        <f t="shared" si="3"/>
        <v>-5045089.5366709847</v>
      </c>
      <c r="F32" s="191">
        <f t="shared" si="4"/>
        <v>-0.32173478488814755</v>
      </c>
      <c r="G32" s="8">
        <f t="shared" si="5"/>
        <v>15680895.487955807</v>
      </c>
      <c r="H32" s="8">
        <f t="shared" si="6"/>
        <v>5045089.5366709847</v>
      </c>
      <c r="I32" s="8">
        <f t="shared" si="7"/>
        <v>0</v>
      </c>
      <c r="J32" s="8">
        <f t="shared" si="10"/>
        <v>0</v>
      </c>
      <c r="K32" s="8">
        <f t="shared" si="8"/>
        <v>0</v>
      </c>
      <c r="L32" s="8">
        <f t="shared" si="1"/>
        <v>15680895.487955807</v>
      </c>
      <c r="M32" s="191">
        <f t="shared" si="2"/>
        <v>3.8038466941500315E-2</v>
      </c>
      <c r="N32" s="145">
        <f t="shared" si="9"/>
        <v>2.4981695492454362E-3</v>
      </c>
    </row>
    <row r="33" spans="1:14" ht="12.75" customHeight="1">
      <c r="A33" s="7" t="s">
        <v>27</v>
      </c>
      <c r="B33" s="8">
        <v>26028289.802329965</v>
      </c>
      <c r="C33" s="8">
        <f t="shared" si="0"/>
        <v>27018366.043519683</v>
      </c>
      <c r="D33" s="8">
        <f>+'COEF DIST PART'!AP34+'COEF DIST GASOLINAS'!M34+'COEF DIST TEN'!AO33</f>
        <v>26369274.731407363</v>
      </c>
      <c r="E33" s="8">
        <f t="shared" si="3"/>
        <v>-649091.31211232021</v>
      </c>
      <c r="F33" s="191">
        <f t="shared" si="4"/>
        <v>-2.4024077217208471E-2</v>
      </c>
      <c r="G33" s="8">
        <f t="shared" si="5"/>
        <v>27018366.043519683</v>
      </c>
      <c r="H33" s="8">
        <f t="shared" si="6"/>
        <v>649091.31211232021</v>
      </c>
      <c r="I33" s="8">
        <f t="shared" si="7"/>
        <v>0</v>
      </c>
      <c r="J33" s="8">
        <f t="shared" si="10"/>
        <v>0</v>
      </c>
      <c r="K33" s="8">
        <f t="shared" si="8"/>
        <v>0</v>
      </c>
      <c r="L33" s="8">
        <f t="shared" si="1"/>
        <v>27018366.043519683</v>
      </c>
      <c r="M33" s="191">
        <f t="shared" si="2"/>
        <v>3.8038466941500322E-2</v>
      </c>
      <c r="N33" s="145">
        <f t="shared" si="9"/>
        <v>4.3043753063803335E-3</v>
      </c>
    </row>
    <row r="34" spans="1:14" ht="12.75" customHeight="1">
      <c r="A34" s="7" t="s">
        <v>28</v>
      </c>
      <c r="B34" s="8">
        <v>14041870.719162632</v>
      </c>
      <c r="C34" s="8">
        <f t="shared" si="0"/>
        <v>14576001.954310322</v>
      </c>
      <c r="D34" s="8">
        <f>+'COEF DIST PART'!AP35+'COEF DIST GASOLINAS'!M35+'COEF DIST TEN'!AO34</f>
        <v>15264577.833253281</v>
      </c>
      <c r="E34" s="8">
        <f t="shared" si="3"/>
        <v>688575.87894295901</v>
      </c>
      <c r="F34" s="191">
        <f t="shared" si="4"/>
        <v>4.724038053105075E-2</v>
      </c>
      <c r="G34" s="8">
        <f t="shared" si="5"/>
        <v>0</v>
      </c>
      <c r="H34" s="8">
        <f t="shared" si="6"/>
        <v>0</v>
      </c>
      <c r="I34" s="8">
        <f t="shared" si="7"/>
        <v>15264577.833253281</v>
      </c>
      <c r="J34" s="8">
        <f t="shared" si="10"/>
        <v>688575.87894295901</v>
      </c>
      <c r="K34" s="8">
        <f t="shared" si="8"/>
        <v>688575.87894295773</v>
      </c>
      <c r="L34" s="8">
        <f t="shared" si="1"/>
        <v>14576001.954310324</v>
      </c>
      <c r="M34" s="191">
        <f t="shared" si="2"/>
        <v>3.8038466941500544E-2</v>
      </c>
      <c r="N34" s="145">
        <f t="shared" si="9"/>
        <v>2.3221457129134235E-3</v>
      </c>
    </row>
    <row r="35" spans="1:14" ht="12.75" customHeight="1">
      <c r="A35" s="7" t="s">
        <v>29</v>
      </c>
      <c r="B35" s="8">
        <v>20830259.368912105</v>
      </c>
      <c r="C35" s="8">
        <f t="shared" si="0"/>
        <v>21622610.501299348</v>
      </c>
      <c r="D35" s="8">
        <f>+'COEF DIST PART'!AP36+'COEF DIST GASOLINAS'!M36+'COEF DIST TEN'!AO35</f>
        <v>17275198.678611636</v>
      </c>
      <c r="E35" s="8">
        <f t="shared" si="3"/>
        <v>-4347411.8226877116</v>
      </c>
      <c r="F35" s="191">
        <f t="shared" si="4"/>
        <v>-0.20105860124643443</v>
      </c>
      <c r="G35" s="8">
        <f t="shared" si="5"/>
        <v>21622610.501299348</v>
      </c>
      <c r="H35" s="8">
        <f t="shared" si="6"/>
        <v>4347411.8226877116</v>
      </c>
      <c r="I35" s="8">
        <f t="shared" si="7"/>
        <v>0</v>
      </c>
      <c r="J35" s="8">
        <f t="shared" si="10"/>
        <v>0</v>
      </c>
      <c r="K35" s="8">
        <f t="shared" si="8"/>
        <v>0</v>
      </c>
      <c r="L35" s="8">
        <f t="shared" si="1"/>
        <v>21622610.501299348</v>
      </c>
      <c r="M35" s="191">
        <f t="shared" si="2"/>
        <v>3.8038466941500454E-2</v>
      </c>
      <c r="N35" s="145">
        <f t="shared" si="9"/>
        <v>3.4447616318232593E-3</v>
      </c>
    </row>
    <row r="36" spans="1:14" ht="12.75" customHeight="1">
      <c r="A36" s="7" t="s">
        <v>30</v>
      </c>
      <c r="B36" s="8">
        <v>19151212.988949068</v>
      </c>
      <c r="C36" s="8">
        <f t="shared" si="0"/>
        <v>19879695.771118838</v>
      </c>
      <c r="D36" s="8">
        <f>+'COEF DIST PART'!AP37+'COEF DIST GASOLINAS'!M37+'COEF DIST TEN'!AO36</f>
        <v>20047512.08629021</v>
      </c>
      <c r="E36" s="8">
        <f t="shared" si="3"/>
        <v>167816.31517137215</v>
      </c>
      <c r="F36" s="191">
        <f t="shared" si="4"/>
        <v>8.4415937297780564E-3</v>
      </c>
      <c r="G36" s="8">
        <f t="shared" si="5"/>
        <v>0</v>
      </c>
      <c r="H36" s="8">
        <f t="shared" si="6"/>
        <v>0</v>
      </c>
      <c r="I36" s="8">
        <f t="shared" si="7"/>
        <v>20047512.08629021</v>
      </c>
      <c r="J36" s="8">
        <f t="shared" si="10"/>
        <v>167816.31517137215</v>
      </c>
      <c r="K36" s="8">
        <f t="shared" si="8"/>
        <v>167816.31517137183</v>
      </c>
      <c r="L36" s="8">
        <f t="shared" si="1"/>
        <v>19879695.771118838</v>
      </c>
      <c r="M36" s="191">
        <f t="shared" si="2"/>
        <v>3.8038466941500308E-2</v>
      </c>
      <c r="N36" s="145">
        <f t="shared" si="9"/>
        <v>3.1670927634086608E-3</v>
      </c>
    </row>
    <row r="37" spans="1:14" ht="12.75" customHeight="1">
      <c r="A37" s="7" t="s">
        <v>31</v>
      </c>
      <c r="B37" s="8">
        <v>182400387.90974286</v>
      </c>
      <c r="C37" s="8">
        <f t="shared" si="0"/>
        <v>189338619.03536445</v>
      </c>
      <c r="D37" s="8">
        <f>+'COEF DIST PART'!AP38+'COEF DIST GASOLINAS'!M38+'COEF DIST TEN'!AO37</f>
        <v>200528194.80157101</v>
      </c>
      <c r="E37" s="8">
        <f t="shared" si="3"/>
        <v>11189575.766206563</v>
      </c>
      <c r="F37" s="191">
        <f t="shared" si="4"/>
        <v>5.9098222133523573E-2</v>
      </c>
      <c r="G37" s="8">
        <f t="shared" si="5"/>
        <v>0</v>
      </c>
      <c r="H37" s="8">
        <f t="shared" si="6"/>
        <v>0</v>
      </c>
      <c r="I37" s="8">
        <f t="shared" si="7"/>
        <v>200528194.80157101</v>
      </c>
      <c r="J37" s="8">
        <f t="shared" si="10"/>
        <v>11189575.766206563</v>
      </c>
      <c r="K37" s="8">
        <f t="shared" si="8"/>
        <v>11189575.766206542</v>
      </c>
      <c r="L37" s="8">
        <f t="shared" si="1"/>
        <v>189338619.03536448</v>
      </c>
      <c r="M37" s="191">
        <f t="shared" si="2"/>
        <v>3.8038466941500475E-2</v>
      </c>
      <c r="N37" s="145">
        <f t="shared" si="9"/>
        <v>3.0164091899830086E-2</v>
      </c>
    </row>
    <row r="38" spans="1:14" ht="12.75" customHeight="1">
      <c r="A38" s="7" t="s">
        <v>32</v>
      </c>
      <c r="B38" s="8">
        <v>35517602.218406938</v>
      </c>
      <c r="C38" s="8">
        <f t="shared" si="0"/>
        <v>36868637.356233172</v>
      </c>
      <c r="D38" s="8">
        <f>+'COEF DIST PART'!AP39+'COEF DIST GASOLINAS'!M39+'COEF DIST TEN'!AO38</f>
        <v>37155830.228981987</v>
      </c>
      <c r="E38" s="8">
        <f t="shared" si="3"/>
        <v>287192.87274881452</v>
      </c>
      <c r="F38" s="191">
        <f t="shared" si="4"/>
        <v>7.7896253656974512E-3</v>
      </c>
      <c r="G38" s="8">
        <f t="shared" si="5"/>
        <v>0</v>
      </c>
      <c r="H38" s="8">
        <f t="shared" si="6"/>
        <v>0</v>
      </c>
      <c r="I38" s="8">
        <f t="shared" si="7"/>
        <v>37155830.228981987</v>
      </c>
      <c r="J38" s="8">
        <f t="shared" si="10"/>
        <v>287192.87274881452</v>
      </c>
      <c r="K38" s="8">
        <f t="shared" si="8"/>
        <v>287192.872748814</v>
      </c>
      <c r="L38" s="8">
        <f t="shared" si="1"/>
        <v>36868637.356233172</v>
      </c>
      <c r="M38" s="191">
        <f t="shared" si="2"/>
        <v>3.8038466941500412E-2</v>
      </c>
      <c r="N38" s="145">
        <f t="shared" si="9"/>
        <v>5.8736509809824231E-3</v>
      </c>
    </row>
    <row r="39" spans="1:14" s="9" customFormat="1" ht="12.75" customHeight="1">
      <c r="A39" s="7" t="s">
        <v>33</v>
      </c>
      <c r="B39" s="8">
        <v>130315043.26600544</v>
      </c>
      <c r="C39" s="8">
        <f t="shared" si="0"/>
        <v>135272027.73125958</v>
      </c>
      <c r="D39" s="8">
        <f>+'COEF DIST PART'!AP40+'COEF DIST GASOLINAS'!M40+'COEF DIST TEN'!AO39</f>
        <v>134570587.90390521</v>
      </c>
      <c r="E39" s="8">
        <f t="shared" si="3"/>
        <v>-701439.82735437155</v>
      </c>
      <c r="F39" s="191">
        <f t="shared" si="4"/>
        <v>-5.1854018832917818E-3</v>
      </c>
      <c r="G39" s="8">
        <f t="shared" si="5"/>
        <v>135272027.73125958</v>
      </c>
      <c r="H39" s="8">
        <f t="shared" si="6"/>
        <v>701439.82735437155</v>
      </c>
      <c r="I39" s="8">
        <f t="shared" si="7"/>
        <v>0</v>
      </c>
      <c r="J39" s="8">
        <f t="shared" si="10"/>
        <v>0</v>
      </c>
      <c r="K39" s="8">
        <f t="shared" si="8"/>
        <v>0</v>
      </c>
      <c r="L39" s="8">
        <f t="shared" ref="L39:L57" si="11">IF(H39&lt;&gt;0,D39+H39,D39-K39)</f>
        <v>135272027.73125958</v>
      </c>
      <c r="M39" s="191">
        <f t="shared" ref="M39:M58" si="12">+(L39-B39)/B39</f>
        <v>3.8038466941500405E-2</v>
      </c>
      <c r="N39" s="145">
        <f t="shared" si="9"/>
        <v>2.1550584327436933E-2</v>
      </c>
    </row>
    <row r="40" spans="1:14" ht="12.75" customHeight="1">
      <c r="A40" s="7" t="s">
        <v>34</v>
      </c>
      <c r="B40" s="8">
        <v>25941130.726698693</v>
      </c>
      <c r="C40" s="8">
        <f t="shared" si="0"/>
        <v>26927891.570271362</v>
      </c>
      <c r="D40" s="8">
        <f>+'COEF DIST PART'!AP41+'COEF DIST GASOLINAS'!M41+'COEF DIST TEN'!AO40</f>
        <v>27811483.659769561</v>
      </c>
      <c r="E40" s="8">
        <f t="shared" si="3"/>
        <v>883592.08949819952</v>
      </c>
      <c r="F40" s="191">
        <f t="shared" si="4"/>
        <v>3.2813266764401758E-2</v>
      </c>
      <c r="G40" s="8">
        <f t="shared" si="5"/>
        <v>0</v>
      </c>
      <c r="H40" s="8">
        <f t="shared" si="6"/>
        <v>0</v>
      </c>
      <c r="I40" s="8">
        <f t="shared" si="7"/>
        <v>27811483.659769561</v>
      </c>
      <c r="J40" s="8">
        <f t="shared" si="10"/>
        <v>883592.08949819952</v>
      </c>
      <c r="K40" s="8">
        <f t="shared" si="8"/>
        <v>883592.08949819789</v>
      </c>
      <c r="L40" s="8">
        <f t="shared" si="11"/>
        <v>26927891.570271362</v>
      </c>
      <c r="M40" s="191">
        <f t="shared" si="12"/>
        <v>3.8038466941500412E-2</v>
      </c>
      <c r="N40" s="145">
        <f t="shared" si="9"/>
        <v>4.289961552125892E-3</v>
      </c>
    </row>
    <row r="41" spans="1:14" ht="12.75" customHeight="1">
      <c r="A41" s="7" t="s">
        <v>35</v>
      </c>
      <c r="B41" s="8">
        <v>22731637.861915868</v>
      </c>
      <c r="C41" s="8">
        <f t="shared" si="0"/>
        <v>23596314.517252512</v>
      </c>
      <c r="D41" s="8">
        <f>+'COEF DIST PART'!AP42+'COEF DIST GASOLINAS'!M42+'COEF DIST TEN'!AO41</f>
        <v>25982272.053098448</v>
      </c>
      <c r="E41" s="8">
        <f t="shared" si="3"/>
        <v>2385957.5358459353</v>
      </c>
      <c r="F41" s="191">
        <f t="shared" si="4"/>
        <v>0.10111568626962637</v>
      </c>
      <c r="G41" s="8">
        <f t="shared" si="5"/>
        <v>0</v>
      </c>
      <c r="H41" s="8">
        <f t="shared" si="6"/>
        <v>0</v>
      </c>
      <c r="I41" s="8">
        <f t="shared" si="7"/>
        <v>25982272.053098448</v>
      </c>
      <c r="J41" s="8">
        <f t="shared" si="10"/>
        <v>2385957.5358459353</v>
      </c>
      <c r="K41" s="8">
        <f t="shared" si="8"/>
        <v>2385957.5358459307</v>
      </c>
      <c r="L41" s="8">
        <f t="shared" si="11"/>
        <v>23596314.517252516</v>
      </c>
      <c r="M41" s="191">
        <f t="shared" si="12"/>
        <v>3.8038466941500516E-2</v>
      </c>
      <c r="N41" s="145">
        <f t="shared" si="9"/>
        <v>3.7591982196868014E-3</v>
      </c>
    </row>
    <row r="42" spans="1:14" ht="12.75" customHeight="1">
      <c r="A42" s="7" t="s">
        <v>36</v>
      </c>
      <c r="B42" s="8">
        <v>28034696.430907037</v>
      </c>
      <c r="C42" s="8">
        <f t="shared" si="0"/>
        <v>29101093.304309092</v>
      </c>
      <c r="D42" s="8">
        <f>+'COEF DIST PART'!AP43+'COEF DIST GASOLINAS'!M43+'COEF DIST TEN'!AO42</f>
        <v>29170598.299864624</v>
      </c>
      <c r="E42" s="8">
        <f t="shared" si="3"/>
        <v>69504.995555531234</v>
      </c>
      <c r="F42" s="191">
        <f t="shared" si="4"/>
        <v>2.3883980862409527E-3</v>
      </c>
      <c r="G42" s="8">
        <f t="shared" si="5"/>
        <v>0</v>
      </c>
      <c r="H42" s="8">
        <f t="shared" si="6"/>
        <v>0</v>
      </c>
      <c r="I42" s="8">
        <f t="shared" si="7"/>
        <v>29170598.299864624</v>
      </c>
      <c r="J42" s="8">
        <f t="shared" si="10"/>
        <v>69504.995555531234</v>
      </c>
      <c r="K42" s="8">
        <f t="shared" si="8"/>
        <v>69504.995555531103</v>
      </c>
      <c r="L42" s="8">
        <f t="shared" si="11"/>
        <v>29101093.304309092</v>
      </c>
      <c r="M42" s="191">
        <f t="shared" si="12"/>
        <v>3.8038466941500357E-2</v>
      </c>
      <c r="N42" s="145">
        <f t="shared" si="9"/>
        <v>4.6361807078182677E-3</v>
      </c>
    </row>
    <row r="43" spans="1:14" ht="12.75" customHeight="1">
      <c r="A43" s="7" t="s">
        <v>37</v>
      </c>
      <c r="B43" s="8">
        <v>39502341.51405035</v>
      </c>
      <c r="C43" s="8">
        <f t="shared" si="0"/>
        <v>41004950.02584441</v>
      </c>
      <c r="D43" s="8">
        <f>+'COEF DIST PART'!AP44+'COEF DIST GASOLINAS'!M44+'COEF DIST TEN'!AO43</f>
        <v>41250165.900181822</v>
      </c>
      <c r="E43" s="8">
        <f t="shared" si="3"/>
        <v>245215.87433741242</v>
      </c>
      <c r="F43" s="191">
        <f t="shared" si="4"/>
        <v>5.9801529859897134E-3</v>
      </c>
      <c r="G43" s="8">
        <f t="shared" si="5"/>
        <v>0</v>
      </c>
      <c r="H43" s="8">
        <f t="shared" si="6"/>
        <v>0</v>
      </c>
      <c r="I43" s="8">
        <f t="shared" si="7"/>
        <v>41250165.900181822</v>
      </c>
      <c r="J43" s="8">
        <f t="shared" si="10"/>
        <v>245215.87433741242</v>
      </c>
      <c r="K43" s="8">
        <f t="shared" si="8"/>
        <v>245215.87433741195</v>
      </c>
      <c r="L43" s="8">
        <f t="shared" si="11"/>
        <v>41004950.02584441</v>
      </c>
      <c r="M43" s="191">
        <f t="shared" si="12"/>
        <v>3.8038466941500336E-2</v>
      </c>
      <c r="N43" s="145">
        <f t="shared" si="9"/>
        <v>6.5326191097680297E-3</v>
      </c>
    </row>
    <row r="44" spans="1:14" s="9" customFormat="1" ht="12.75" customHeight="1">
      <c r="A44" s="7" t="s">
        <v>38</v>
      </c>
      <c r="B44" s="8">
        <v>92723113.766476914</v>
      </c>
      <c r="C44" s="8">
        <f t="shared" si="0"/>
        <v>96250158.864196017</v>
      </c>
      <c r="D44" s="8">
        <f>+'COEF DIST PART'!AP45+'COEF DIST GASOLINAS'!M45+'COEF DIST TEN'!AO44</f>
        <v>94568360.713945627</v>
      </c>
      <c r="E44" s="8">
        <f t="shared" si="3"/>
        <v>-1681798.1502503902</v>
      </c>
      <c r="F44" s="191">
        <f t="shared" si="4"/>
        <v>-1.747319869490626E-2</v>
      </c>
      <c r="G44" s="8">
        <f t="shared" si="5"/>
        <v>96250158.864196017</v>
      </c>
      <c r="H44" s="8">
        <f t="shared" si="6"/>
        <v>1681798.1502503902</v>
      </c>
      <c r="I44" s="8">
        <f t="shared" si="7"/>
        <v>0</v>
      </c>
      <c r="J44" s="8">
        <f t="shared" si="10"/>
        <v>0</v>
      </c>
      <c r="K44" s="8">
        <f t="shared" si="8"/>
        <v>0</v>
      </c>
      <c r="L44" s="8">
        <f t="shared" si="11"/>
        <v>96250158.864196017</v>
      </c>
      <c r="M44" s="191">
        <f t="shared" si="12"/>
        <v>3.8038466941500294E-2</v>
      </c>
      <c r="N44" s="145">
        <f t="shared" si="9"/>
        <v>1.5333895705717483E-2</v>
      </c>
    </row>
    <row r="45" spans="1:14" ht="12.75" customHeight="1">
      <c r="A45" s="7" t="s">
        <v>39</v>
      </c>
      <c r="B45" s="8">
        <v>1375532159.6900911</v>
      </c>
      <c r="C45" s="8">
        <f t="shared" si="0"/>
        <v>1427855294.2734332</v>
      </c>
      <c r="D45" s="8">
        <f>+'COEF DIST PART'!AP46+'COEF DIST GASOLINAS'!M46+'COEF DIST TEN'!AO45</f>
        <v>1473734289.5190177</v>
      </c>
      <c r="E45" s="8">
        <f t="shared" si="3"/>
        <v>45878995.245584488</v>
      </c>
      <c r="F45" s="191">
        <f t="shared" si="4"/>
        <v>3.2131403952198177E-2</v>
      </c>
      <c r="G45" s="8">
        <f t="shared" si="5"/>
        <v>0</v>
      </c>
      <c r="H45" s="8">
        <f t="shared" si="6"/>
        <v>0</v>
      </c>
      <c r="I45" s="8">
        <f t="shared" si="7"/>
        <v>1473734289.5190177</v>
      </c>
      <c r="J45" s="8">
        <f t="shared" si="10"/>
        <v>45878995.245584488</v>
      </c>
      <c r="K45" s="8">
        <f t="shared" si="8"/>
        <v>45878995.245584399</v>
      </c>
      <c r="L45" s="8">
        <f t="shared" si="11"/>
        <v>1427855294.2734332</v>
      </c>
      <c r="M45" s="191">
        <f t="shared" si="12"/>
        <v>3.8038466941500322E-2</v>
      </c>
      <c r="N45" s="145">
        <f t="shared" si="9"/>
        <v>0.22747582366214578</v>
      </c>
    </row>
    <row r="46" spans="1:14" ht="12.75" customHeight="1">
      <c r="A46" s="7" t="s">
        <v>40</v>
      </c>
      <c r="B46" s="8">
        <v>9879315.2667210829</v>
      </c>
      <c r="C46" s="8">
        <f t="shared" si="0"/>
        <v>10255109.273898913</v>
      </c>
      <c r="D46" s="8">
        <f>+'COEF DIST PART'!AP47+'COEF DIST GASOLINAS'!M47+'COEF DIST TEN'!AO46</f>
        <v>9309893.4581014421</v>
      </c>
      <c r="E46" s="8">
        <f t="shared" si="3"/>
        <v>-945215.81579747051</v>
      </c>
      <c r="F46" s="191">
        <f t="shared" si="4"/>
        <v>-9.2170233446776995E-2</v>
      </c>
      <c r="G46" s="8">
        <f t="shared" si="5"/>
        <v>10255109.273898913</v>
      </c>
      <c r="H46" s="8">
        <f t="shared" si="6"/>
        <v>945215.81579747051</v>
      </c>
      <c r="I46" s="8">
        <f t="shared" si="7"/>
        <v>0</v>
      </c>
      <c r="J46" s="8">
        <f t="shared" si="10"/>
        <v>0</v>
      </c>
      <c r="K46" s="8">
        <f t="shared" si="8"/>
        <v>0</v>
      </c>
      <c r="L46" s="8">
        <f t="shared" si="11"/>
        <v>10255109.273898913</v>
      </c>
      <c r="M46" s="191">
        <f t="shared" si="12"/>
        <v>3.8038466941500364E-2</v>
      </c>
      <c r="N46" s="145">
        <f t="shared" si="9"/>
        <v>1.6337716000923673E-3</v>
      </c>
    </row>
    <row r="47" spans="1:14" s="9" customFormat="1" ht="12.75" customHeight="1">
      <c r="A47" s="7" t="s">
        <v>41</v>
      </c>
      <c r="B47" s="8">
        <v>26183469.770358004</v>
      </c>
      <c r="C47" s="8">
        <f t="shared" si="0"/>
        <v>27179448.819631539</v>
      </c>
      <c r="D47" s="8">
        <f>+'COEF DIST PART'!AP48+'COEF DIST GASOLINAS'!M48+'COEF DIST TEN'!AO47</f>
        <v>27574123.304421313</v>
      </c>
      <c r="E47" s="8">
        <f t="shared" si="3"/>
        <v>394674.48478977382</v>
      </c>
      <c r="F47" s="191">
        <f t="shared" si="4"/>
        <v>1.4521062859255005E-2</v>
      </c>
      <c r="G47" s="8">
        <f t="shared" si="5"/>
        <v>0</v>
      </c>
      <c r="H47" s="8">
        <f t="shared" si="6"/>
        <v>0</v>
      </c>
      <c r="I47" s="8">
        <f t="shared" si="7"/>
        <v>27574123.304421313</v>
      </c>
      <c r="J47" s="8">
        <f t="shared" si="10"/>
        <v>394674.48478977382</v>
      </c>
      <c r="K47" s="8">
        <f t="shared" si="8"/>
        <v>394674.48478977307</v>
      </c>
      <c r="L47" s="8">
        <f t="shared" si="11"/>
        <v>27179448.819631539</v>
      </c>
      <c r="M47" s="191">
        <f t="shared" si="12"/>
        <v>3.8038466941500308E-2</v>
      </c>
      <c r="N47" s="145">
        <f t="shared" si="9"/>
        <v>4.3300378768948589E-3</v>
      </c>
    </row>
    <row r="48" spans="1:14" ht="12.75" customHeight="1">
      <c r="A48" s="7" t="s">
        <v>42</v>
      </c>
      <c r="B48" s="8">
        <v>20992844.334831275</v>
      </c>
      <c r="C48" s="8">
        <f t="shared" si="0"/>
        <v>21791379.950069819</v>
      </c>
      <c r="D48" s="8">
        <f>+'COEF DIST PART'!AP49+'COEF DIST GASOLINAS'!M49+'COEF DIST TEN'!AO48</f>
        <v>16742036.151972959</v>
      </c>
      <c r="E48" s="8">
        <f t="shared" si="3"/>
        <v>-5049343.7980968598</v>
      </c>
      <c r="F48" s="191">
        <f t="shared" si="4"/>
        <v>-0.23171289792873728</v>
      </c>
      <c r="G48" s="8">
        <f t="shared" si="5"/>
        <v>21791379.950069819</v>
      </c>
      <c r="H48" s="8">
        <f t="shared" si="6"/>
        <v>5049343.7980968598</v>
      </c>
      <c r="I48" s="8">
        <f t="shared" si="7"/>
        <v>0</v>
      </c>
      <c r="J48" s="8">
        <f t="shared" si="10"/>
        <v>0</v>
      </c>
      <c r="K48" s="8">
        <f t="shared" si="8"/>
        <v>0</v>
      </c>
      <c r="L48" s="8">
        <f t="shared" si="11"/>
        <v>21791379.950069819</v>
      </c>
      <c r="M48" s="191">
        <f t="shared" si="12"/>
        <v>3.8038466941500412E-2</v>
      </c>
      <c r="N48" s="145">
        <f t="shared" si="9"/>
        <v>3.4716487887515844E-3</v>
      </c>
    </row>
    <row r="49" spans="1:14" ht="12.75" customHeight="1">
      <c r="A49" s="7" t="s">
        <v>43</v>
      </c>
      <c r="B49" s="8">
        <v>22710170.655644231</v>
      </c>
      <c r="C49" s="8">
        <f t="shared" si="0"/>
        <v>23574030.731364787</v>
      </c>
      <c r="D49" s="8">
        <f>+'COEF DIST PART'!AP50+'COEF DIST GASOLINAS'!M50+'COEF DIST TEN'!AO49</f>
        <v>23156737.23862955</v>
      </c>
      <c r="E49" s="8">
        <f t="shared" si="3"/>
        <v>-417293.49273523688</v>
      </c>
      <c r="F49" s="191">
        <f t="shared" si="4"/>
        <v>-1.7701406157074193E-2</v>
      </c>
      <c r="G49" s="8">
        <f t="shared" si="5"/>
        <v>23574030.731364787</v>
      </c>
      <c r="H49" s="8">
        <f t="shared" si="6"/>
        <v>417293.49273523688</v>
      </c>
      <c r="I49" s="8">
        <f t="shared" si="7"/>
        <v>0</v>
      </c>
      <c r="J49" s="8">
        <f t="shared" si="10"/>
        <v>0</v>
      </c>
      <c r="K49" s="8">
        <f t="shared" si="8"/>
        <v>0</v>
      </c>
      <c r="L49" s="8">
        <f t="shared" si="11"/>
        <v>23574030.731364787</v>
      </c>
      <c r="M49" s="191">
        <f t="shared" si="12"/>
        <v>3.8038466941500426E-2</v>
      </c>
      <c r="N49" s="145">
        <f t="shared" si="9"/>
        <v>3.7556481242608489E-3</v>
      </c>
    </row>
    <row r="50" spans="1:14" ht="12.75" customHeight="1">
      <c r="A50" s="7" t="s">
        <v>44</v>
      </c>
      <c r="B50" s="8">
        <v>67759969.573540688</v>
      </c>
      <c r="C50" s="8">
        <f t="shared" si="0"/>
        <v>70337454.936120883</v>
      </c>
      <c r="D50" s="8">
        <f>+'COEF DIST PART'!AP51+'COEF DIST GASOLINAS'!M51+'COEF DIST TEN'!AO50</f>
        <v>46967879.677395545</v>
      </c>
      <c r="E50" s="8">
        <f t="shared" si="3"/>
        <v>-23369575.258725338</v>
      </c>
      <c r="F50" s="191">
        <f t="shared" si="4"/>
        <v>-0.3322493723997994</v>
      </c>
      <c r="G50" s="8">
        <f t="shared" si="5"/>
        <v>70337454.936120883</v>
      </c>
      <c r="H50" s="8">
        <f t="shared" si="6"/>
        <v>23369575.258725338</v>
      </c>
      <c r="I50" s="8">
        <f t="shared" si="7"/>
        <v>0</v>
      </c>
      <c r="J50" s="8">
        <f t="shared" si="10"/>
        <v>0</v>
      </c>
      <c r="K50" s="8">
        <f t="shared" si="8"/>
        <v>0</v>
      </c>
      <c r="L50" s="8">
        <f t="shared" si="11"/>
        <v>70337454.936120883</v>
      </c>
      <c r="M50" s="191">
        <f t="shared" si="12"/>
        <v>3.8038466941500322E-2</v>
      </c>
      <c r="N50" s="145">
        <f t="shared" si="9"/>
        <v>1.1205666680694577E-2</v>
      </c>
    </row>
    <row r="51" spans="1:14" ht="12.75" customHeight="1">
      <c r="A51" s="7" t="s">
        <v>45</v>
      </c>
      <c r="B51" s="8">
        <v>58306140.130971506</v>
      </c>
      <c r="C51" s="8">
        <f t="shared" si="0"/>
        <v>60524016.314829953</v>
      </c>
      <c r="D51" s="8">
        <f>+'COEF DIST PART'!AP52+'COEF DIST GASOLINAS'!M52+'COEF DIST TEN'!AO51</f>
        <v>58936733.458489165</v>
      </c>
      <c r="E51" s="8">
        <f t="shared" si="3"/>
        <v>-1587282.8563407883</v>
      </c>
      <c r="F51" s="191">
        <f t="shared" si="4"/>
        <v>-2.6225669626486155E-2</v>
      </c>
      <c r="G51" s="8">
        <f t="shared" si="5"/>
        <v>60524016.314829953</v>
      </c>
      <c r="H51" s="8">
        <f t="shared" si="6"/>
        <v>1587282.8563407883</v>
      </c>
      <c r="I51" s="8">
        <f t="shared" si="7"/>
        <v>0</v>
      </c>
      <c r="J51" s="8">
        <f t="shared" si="10"/>
        <v>0</v>
      </c>
      <c r="K51" s="8">
        <f t="shared" si="8"/>
        <v>0</v>
      </c>
      <c r="L51" s="8">
        <f t="shared" si="11"/>
        <v>60524016.314829953</v>
      </c>
      <c r="M51" s="191">
        <f t="shared" si="12"/>
        <v>3.8038466941500357E-2</v>
      </c>
      <c r="N51" s="145">
        <f t="shared" si="9"/>
        <v>9.6422589304211229E-3</v>
      </c>
    </row>
    <row r="52" spans="1:14" ht="12.75" customHeight="1">
      <c r="A52" s="7" t="s">
        <v>46</v>
      </c>
      <c r="B52" s="8">
        <v>485331856.19659519</v>
      </c>
      <c r="C52" s="8">
        <f t="shared" si="0"/>
        <v>503793135.96418637</v>
      </c>
      <c r="D52" s="8">
        <f>+'COEF DIST PART'!AP53+'COEF DIST GASOLINAS'!M53+'COEF DIST TEN'!AO52</f>
        <v>492310573.10366672</v>
      </c>
      <c r="E52" s="8">
        <f t="shared" si="3"/>
        <v>-11482562.860519648</v>
      </c>
      <c r="F52" s="191">
        <f t="shared" si="4"/>
        <v>-2.2792217759266809E-2</v>
      </c>
      <c r="G52" s="8">
        <f t="shared" si="5"/>
        <v>503793135.96418637</v>
      </c>
      <c r="H52" s="8">
        <f t="shared" si="6"/>
        <v>11482562.860519648</v>
      </c>
      <c r="I52" s="8">
        <f t="shared" si="7"/>
        <v>0</v>
      </c>
      <c r="J52" s="8">
        <f t="shared" si="10"/>
        <v>0</v>
      </c>
      <c r="K52" s="8">
        <f t="shared" si="8"/>
        <v>0</v>
      </c>
      <c r="L52" s="8">
        <f t="shared" si="11"/>
        <v>503793135.96418637</v>
      </c>
      <c r="M52" s="191">
        <f t="shared" si="12"/>
        <v>3.8038466941500329E-2</v>
      </c>
      <c r="N52" s="145">
        <f t="shared" si="9"/>
        <v>8.0260765231888215E-2</v>
      </c>
    </row>
    <row r="53" spans="1:14" ht="12.75" customHeight="1">
      <c r="A53" s="7" t="s">
        <v>47</v>
      </c>
      <c r="B53" s="8">
        <v>511530399.39661837</v>
      </c>
      <c r="C53" s="8">
        <f t="shared" si="0"/>
        <v>530988231.58363914</v>
      </c>
      <c r="D53" s="8">
        <f>+'COEF DIST PART'!AP54+'COEF DIST GASOLINAS'!M54+'COEF DIST TEN'!AO53</f>
        <v>614041932.66200531</v>
      </c>
      <c r="E53" s="8">
        <f t="shared" si="3"/>
        <v>83053701.07836616</v>
      </c>
      <c r="F53" s="191">
        <f t="shared" si="4"/>
        <v>0.15641344974946753</v>
      </c>
      <c r="G53" s="8">
        <f t="shared" si="5"/>
        <v>0</v>
      </c>
      <c r="H53" s="8">
        <f t="shared" si="6"/>
        <v>0</v>
      </c>
      <c r="I53" s="8">
        <f t="shared" si="7"/>
        <v>614041932.66200531</v>
      </c>
      <c r="J53" s="8">
        <f t="shared" si="10"/>
        <v>83053701.07836616</v>
      </c>
      <c r="K53" s="8">
        <f t="shared" si="8"/>
        <v>83053701.078365996</v>
      </c>
      <c r="L53" s="8">
        <f t="shared" si="11"/>
        <v>530988231.58363932</v>
      </c>
      <c r="M53" s="191">
        <f t="shared" si="12"/>
        <v>3.803846694150078E-2</v>
      </c>
      <c r="N53" s="145">
        <f t="shared" si="9"/>
        <v>8.4593295846451477E-2</v>
      </c>
    </row>
    <row r="54" spans="1:14" s="9" customFormat="1" ht="12.75" customHeight="1">
      <c r="A54" s="7" t="s">
        <v>48</v>
      </c>
      <c r="B54" s="8">
        <v>264368587.66966063</v>
      </c>
      <c r="C54" s="8">
        <f t="shared" si="0"/>
        <v>274424763.45210415</v>
      </c>
      <c r="D54" s="8">
        <f>+'COEF DIST PART'!AP55+'COEF DIST GASOLINAS'!M55+'COEF DIST TEN'!AO54</f>
        <v>268769204.52171969</v>
      </c>
      <c r="E54" s="8">
        <f t="shared" si="3"/>
        <v>-5655558.9303844571</v>
      </c>
      <c r="F54" s="191">
        <f t="shared" si="4"/>
        <v>-2.0608777645431158E-2</v>
      </c>
      <c r="G54" s="8">
        <f t="shared" si="5"/>
        <v>274424763.45210415</v>
      </c>
      <c r="H54" s="8">
        <f t="shared" si="6"/>
        <v>5655558.9303844571</v>
      </c>
      <c r="I54" s="8">
        <f t="shared" si="7"/>
        <v>0</v>
      </c>
      <c r="J54" s="8">
        <f t="shared" si="10"/>
        <v>0</v>
      </c>
      <c r="K54" s="8">
        <f t="shared" si="8"/>
        <v>0</v>
      </c>
      <c r="L54" s="8">
        <f t="shared" si="11"/>
        <v>274424763.45210415</v>
      </c>
      <c r="M54" s="191">
        <f t="shared" si="12"/>
        <v>3.803846694150035E-2</v>
      </c>
      <c r="N54" s="145">
        <f t="shared" si="9"/>
        <v>4.3719415650814941E-2</v>
      </c>
    </row>
    <row r="55" spans="1:14" s="9" customFormat="1" ht="12.75" customHeight="1">
      <c r="A55" s="7" t="s">
        <v>49</v>
      </c>
      <c r="B55" s="8">
        <v>61316294.37673489</v>
      </c>
      <c r="C55" s="8">
        <f t="shared" si="0"/>
        <v>63648672.213359624</v>
      </c>
      <c r="D55" s="8">
        <f>+'COEF DIST PART'!AP56+'COEF DIST GASOLINAS'!M56+'COEF DIST TEN'!AO55</f>
        <v>65359325.631981038</v>
      </c>
      <c r="E55" s="8">
        <f t="shared" si="3"/>
        <v>1710653.4186214134</v>
      </c>
      <c r="F55" s="191">
        <f t="shared" si="4"/>
        <v>2.6876498112750159E-2</v>
      </c>
      <c r="G55" s="8">
        <f t="shared" si="5"/>
        <v>0</v>
      </c>
      <c r="H55" s="8">
        <f t="shared" si="6"/>
        <v>0</v>
      </c>
      <c r="I55" s="8">
        <f t="shared" si="7"/>
        <v>65359325.631981038</v>
      </c>
      <c r="J55" s="8">
        <f t="shared" si="10"/>
        <v>1710653.4186214134</v>
      </c>
      <c r="K55" s="8">
        <f t="shared" si="8"/>
        <v>1710653.4186214102</v>
      </c>
      <c r="L55" s="8">
        <f t="shared" si="11"/>
        <v>63648672.213359624</v>
      </c>
      <c r="M55" s="191">
        <f t="shared" si="12"/>
        <v>3.803846694150035E-2</v>
      </c>
      <c r="N55" s="145">
        <f t="shared" si="9"/>
        <v>1.0140057045558907E-2</v>
      </c>
    </row>
    <row r="56" spans="1:14" ht="12.75" customHeight="1">
      <c r="A56" s="7" t="s">
        <v>50</v>
      </c>
      <c r="B56" s="8">
        <v>17568707.378538739</v>
      </c>
      <c r="C56" s="8">
        <f t="shared" si="0"/>
        <v>18236994.073362179</v>
      </c>
      <c r="D56" s="8">
        <f>+'COEF DIST PART'!AP57+'COEF DIST GASOLINAS'!M57+'COEF DIST TEN'!AO56</f>
        <v>15771724.751642615</v>
      </c>
      <c r="E56" s="8">
        <f t="shared" si="3"/>
        <v>-2465269.3217195645</v>
      </c>
      <c r="F56" s="191">
        <f t="shared" si="4"/>
        <v>-0.13517958671272773</v>
      </c>
      <c r="G56" s="8">
        <f t="shared" si="5"/>
        <v>18236994.073362179</v>
      </c>
      <c r="H56" s="8">
        <f t="shared" si="6"/>
        <v>2465269.3217195645</v>
      </c>
      <c r="I56" s="8">
        <f t="shared" si="7"/>
        <v>0</v>
      </c>
      <c r="J56" s="8">
        <f t="shared" si="10"/>
        <v>0</v>
      </c>
      <c r="K56" s="8">
        <f t="shared" si="8"/>
        <v>0</v>
      </c>
      <c r="L56" s="8">
        <f t="shared" si="11"/>
        <v>18236994.073362179</v>
      </c>
      <c r="M56" s="191">
        <f t="shared" si="12"/>
        <v>3.8038466941500412E-2</v>
      </c>
      <c r="N56" s="145">
        <f t="shared" si="9"/>
        <v>2.9053891277341882E-3</v>
      </c>
    </row>
    <row r="57" spans="1:14" ht="12.75" customHeight="1">
      <c r="A57" s="7" t="s">
        <v>51</v>
      </c>
      <c r="B57" s="8">
        <v>24217783.289892491</v>
      </c>
      <c r="C57" s="8">
        <f t="shared" si="0"/>
        <v>25138990.638961487</v>
      </c>
      <c r="D57" s="8">
        <f>+'COEF DIST PART'!AP58+'COEF DIST GASOLINAS'!M58+'COEF DIST TEN'!AO57</f>
        <v>10891570.4383932</v>
      </c>
      <c r="E57" s="8">
        <f t="shared" si="3"/>
        <v>-14247420.200568287</v>
      </c>
      <c r="F57" s="191">
        <f t="shared" si="4"/>
        <v>-0.56674591295988719</v>
      </c>
      <c r="G57" s="8">
        <f t="shared" si="5"/>
        <v>25138990.638961487</v>
      </c>
      <c r="H57" s="8">
        <f t="shared" si="6"/>
        <v>14247420.200568287</v>
      </c>
      <c r="I57" s="8">
        <f t="shared" si="7"/>
        <v>0</v>
      </c>
      <c r="J57" s="8">
        <f t="shared" si="10"/>
        <v>0</v>
      </c>
      <c r="K57" s="8">
        <f t="shared" si="8"/>
        <v>0</v>
      </c>
      <c r="L57" s="8">
        <f t="shared" si="11"/>
        <v>25138990.638961487</v>
      </c>
      <c r="M57" s="191">
        <f t="shared" si="12"/>
        <v>3.8038466941500371E-2</v>
      </c>
      <c r="N57" s="145">
        <f t="shared" si="9"/>
        <v>4.0049664868474031E-3</v>
      </c>
    </row>
    <row r="58" spans="1:14" s="13" customFormat="1" ht="16.5" customHeight="1" thickBot="1">
      <c r="A58" s="11" t="s">
        <v>52</v>
      </c>
      <c r="B58" s="12">
        <f>SUM(B7:B57)</f>
        <v>6046937813.1940517</v>
      </c>
      <c r="C58" s="12">
        <f>SUM(C7:C57)</f>
        <v>6276954057.2985401</v>
      </c>
      <c r="D58" s="12">
        <f>SUM(D7:D57)</f>
        <v>6276954057.2985401</v>
      </c>
      <c r="E58" s="12">
        <f>SUM(E7:E57)</f>
        <v>3.0733644962310791E-7</v>
      </c>
      <c r="F58" s="192">
        <f t="shared" si="4"/>
        <v>0</v>
      </c>
      <c r="G58" s="12">
        <f t="shared" ref="G58:L58" si="13">SUM(G7:G57)</f>
        <v>3184364086.6530542</v>
      </c>
      <c r="H58" s="12">
        <f t="shared" si="13"/>
        <v>171872283.22329995</v>
      </c>
      <c r="I58" s="12">
        <f t="shared" si="13"/>
        <v>3264462253.8687849</v>
      </c>
      <c r="J58" s="12">
        <f t="shared" si="13"/>
        <v>171872283.22330028</v>
      </c>
      <c r="K58" s="12">
        <f t="shared" si="13"/>
        <v>171872283.22329992</v>
      </c>
      <c r="L58" s="12">
        <f t="shared" si="13"/>
        <v>6276954057.2985401</v>
      </c>
      <c r="M58" s="192">
        <f t="shared" si="12"/>
        <v>3.8038466941500024E-2</v>
      </c>
      <c r="N58" s="147">
        <f>SUM(N7:N57)</f>
        <v>1.0000000000000002</v>
      </c>
    </row>
    <row r="59" spans="1:14" ht="13.5" thickTop="1">
      <c r="F59" s="10"/>
      <c r="G59" s="10"/>
      <c r="H59" s="10"/>
      <c r="I59" s="14"/>
      <c r="J59" s="10"/>
      <c r="K59" s="10"/>
      <c r="L59" s="15"/>
      <c r="M59" s="10"/>
      <c r="N59" s="16"/>
    </row>
    <row r="60" spans="1:14">
      <c r="A60" s="151" t="s">
        <v>251</v>
      </c>
      <c r="D60" s="224"/>
      <c r="F60" s="17"/>
    </row>
    <row r="61" spans="1:14">
      <c r="A61" s="151" t="s">
        <v>232</v>
      </c>
      <c r="D61" s="223"/>
      <c r="E61" s="220"/>
    </row>
    <row r="65" spans="11:11">
      <c r="K65" s="216"/>
    </row>
  </sheetData>
  <mergeCells count="12">
    <mergeCell ref="A1:N1"/>
    <mergeCell ref="H3:H4"/>
    <mergeCell ref="A3:A4"/>
    <mergeCell ref="B3:B4"/>
    <mergeCell ref="D3:D4"/>
    <mergeCell ref="C3:C4"/>
    <mergeCell ref="N3:N4"/>
    <mergeCell ref="M3:M4"/>
    <mergeCell ref="L3:L4"/>
    <mergeCell ref="I3:I4"/>
    <mergeCell ref="E3:F4"/>
    <mergeCell ref="J3:J4"/>
  </mergeCells>
  <conditionalFormatting sqref="M7:M57">
    <cfRule type="cellIs" dxfId="0" priority="1" operator="lessThan">
      <formula>$G$4-0.00001</formula>
    </cfRule>
  </conditionalFormatting>
  <printOptions horizontalCentered="1" verticalCentered="1"/>
  <pageMargins left="0.2" right="0.2" top="0.38" bottom="0.19685039370078741" header="0.11811023622047245" footer="0.15748031496062992"/>
  <pageSetup scale="65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0"/>
  <sheetViews>
    <sheetView showGridLines="0" zoomScale="75" zoomScaleNormal="75" zoomScaleSheetLayoutView="100" workbookViewId="0">
      <selection activeCell="B39" sqref="B39"/>
    </sheetView>
  </sheetViews>
  <sheetFormatPr baseColWidth="10" defaultColWidth="11.42578125" defaultRowHeight="12.75"/>
  <cols>
    <col min="1" max="1" width="14.140625" style="19" customWidth="1"/>
    <col min="2" max="2" width="14.85546875" style="20" bestFit="1" customWidth="1"/>
    <col min="3" max="4" width="14.85546875" style="19" bestFit="1" customWidth="1"/>
    <col min="5" max="5" width="15.5703125" style="19" bestFit="1" customWidth="1"/>
    <col min="6" max="7" width="15.140625" style="19" bestFit="1" customWidth="1"/>
    <col min="8" max="9" width="13.85546875" style="19" bestFit="1" customWidth="1"/>
    <col min="10" max="10" width="14" style="19" customWidth="1"/>
    <col min="11" max="12" width="13.85546875" style="19" bestFit="1" customWidth="1"/>
    <col min="13" max="13" width="16.5703125" style="19" bestFit="1" customWidth="1"/>
    <col min="14" max="14" width="16" style="19" customWidth="1"/>
    <col min="15" max="15" width="16.42578125" style="19" customWidth="1"/>
    <col min="16" max="16" width="19.7109375" style="19" customWidth="1"/>
    <col min="17" max="17" width="14" style="19" customWidth="1"/>
    <col min="18" max="18" width="11.42578125" style="19" customWidth="1"/>
    <col min="19" max="19" width="14.42578125" style="19" customWidth="1"/>
    <col min="20" max="20" width="12.7109375" style="19" customWidth="1"/>
    <col min="21" max="21" width="15.5703125" style="19" bestFit="1" customWidth="1"/>
    <col min="22" max="22" width="16" style="19" bestFit="1" customWidth="1"/>
    <col min="23" max="24" width="15.5703125" style="19" bestFit="1" customWidth="1"/>
    <col min="25" max="25" width="13.7109375" style="19" bestFit="1" customWidth="1"/>
    <col min="26" max="26" width="13" style="19" bestFit="1" customWidth="1"/>
    <col min="27" max="27" width="14" style="19" bestFit="1" customWidth="1"/>
    <col min="28" max="30" width="13.7109375" style="19" bestFit="1" customWidth="1"/>
    <col min="31" max="31" width="14" style="19" bestFit="1" customWidth="1"/>
    <col min="32" max="32" width="14.42578125" style="19" bestFit="1" customWidth="1"/>
    <col min="33" max="33" width="13.7109375" style="19" bestFit="1" customWidth="1"/>
    <col min="34" max="34" width="15.85546875" style="19" customWidth="1"/>
    <col min="35" max="35" width="12.7109375" style="19" bestFit="1" customWidth="1"/>
    <col min="36" max="16384" width="11.42578125" style="19"/>
  </cols>
  <sheetData>
    <row r="1" spans="1:16" ht="18">
      <c r="A1" s="308" t="s">
        <v>211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6">
      <c r="B2" s="19"/>
    </row>
    <row r="3" spans="1:16" ht="15.75">
      <c r="A3" s="203" t="s">
        <v>212</v>
      </c>
      <c r="B3" s="19"/>
    </row>
    <row r="4" spans="1:16" ht="25.5">
      <c r="A4" s="209" t="s">
        <v>200</v>
      </c>
      <c r="B4" s="202" t="s">
        <v>185</v>
      </c>
      <c r="C4" s="202" t="s">
        <v>186</v>
      </c>
      <c r="D4" s="202" t="s">
        <v>187</v>
      </c>
      <c r="E4" s="202" t="s">
        <v>188</v>
      </c>
      <c r="F4" s="202" t="s">
        <v>189</v>
      </c>
      <c r="G4" s="202" t="s">
        <v>190</v>
      </c>
      <c r="H4" s="202" t="s">
        <v>191</v>
      </c>
      <c r="I4" s="202" t="s">
        <v>192</v>
      </c>
      <c r="J4" s="202" t="s">
        <v>193</v>
      </c>
      <c r="K4" s="202" t="s">
        <v>194</v>
      </c>
      <c r="L4" s="202" t="s">
        <v>195</v>
      </c>
      <c r="M4" s="202" t="s">
        <v>196</v>
      </c>
      <c r="N4" s="207" t="s">
        <v>198</v>
      </c>
    </row>
    <row r="5" spans="1:16" ht="13.5" customHeight="1">
      <c r="A5" s="201" t="s">
        <v>178</v>
      </c>
      <c r="B5" s="197">
        <v>1870418819.696116</v>
      </c>
      <c r="C5" s="197">
        <v>2193509084.7610517</v>
      </c>
      <c r="D5" s="197">
        <v>1645384413</v>
      </c>
      <c r="E5" s="197">
        <v>2219294949.3238511</v>
      </c>
      <c r="F5" s="197">
        <v>1901616181.5411005</v>
      </c>
      <c r="G5" s="197">
        <v>1524147314.5575736</v>
      </c>
      <c r="H5" s="197"/>
      <c r="I5" s="197"/>
      <c r="J5" s="197"/>
      <c r="K5" s="197"/>
      <c r="L5" s="197"/>
      <c r="M5" s="197"/>
      <c r="N5" s="208">
        <f t="shared" ref="N5:N11" si="0">SUM(B5:M5)</f>
        <v>11354370762.879694</v>
      </c>
      <c r="O5" s="198"/>
    </row>
    <row r="6" spans="1:16" ht="13.5" customHeight="1">
      <c r="A6" s="200" t="s">
        <v>179</v>
      </c>
      <c r="B6" s="197">
        <v>47794735.275521718</v>
      </c>
      <c r="C6" s="197">
        <v>57959302.304034874</v>
      </c>
      <c r="D6" s="197">
        <v>40617843</v>
      </c>
      <c r="E6" s="197">
        <v>59089475.206398681</v>
      </c>
      <c r="F6" s="197">
        <v>47602084.734504193</v>
      </c>
      <c r="G6" s="197">
        <v>40160660.573853873</v>
      </c>
      <c r="H6" s="197"/>
      <c r="I6" s="197"/>
      <c r="J6" s="197"/>
      <c r="K6" s="197"/>
      <c r="L6" s="197"/>
      <c r="M6" s="197"/>
      <c r="N6" s="208">
        <f t="shared" si="0"/>
        <v>293224101.09431332</v>
      </c>
      <c r="O6" s="198"/>
    </row>
    <row r="7" spans="1:16" ht="13.5" customHeight="1">
      <c r="A7" s="200" t="s">
        <v>180</v>
      </c>
      <c r="B7" s="197">
        <v>64529169.72598315</v>
      </c>
      <c r="C7" s="197">
        <v>84041962.822071105</v>
      </c>
      <c r="D7" s="197">
        <v>85463268</v>
      </c>
      <c r="E7" s="197">
        <v>56454477.248171329</v>
      </c>
      <c r="F7" s="197">
        <v>57727902.98405683</v>
      </c>
      <c r="G7" s="197">
        <v>71869066.367562249</v>
      </c>
      <c r="H7" s="197"/>
      <c r="I7" s="197"/>
      <c r="J7" s="197"/>
      <c r="K7" s="197"/>
      <c r="L7" s="197"/>
      <c r="M7" s="197"/>
      <c r="N7" s="208">
        <f t="shared" si="0"/>
        <v>420085847.14784461</v>
      </c>
      <c r="O7" s="198"/>
    </row>
    <row r="8" spans="1:16" ht="13.5" customHeight="1">
      <c r="A8" s="200" t="s">
        <v>210</v>
      </c>
      <c r="B8" s="197">
        <v>92649984.48303315</v>
      </c>
      <c r="C8" s="197">
        <v>75298111</v>
      </c>
      <c r="D8" s="197">
        <v>75298111</v>
      </c>
      <c r="E8" s="197">
        <v>127535165.07650259</v>
      </c>
      <c r="F8" s="197">
        <v>76281041.127573848</v>
      </c>
      <c r="G8" s="197">
        <v>75298111</v>
      </c>
      <c r="H8" s="197"/>
      <c r="I8" s="197"/>
      <c r="J8" s="197"/>
      <c r="K8" s="197"/>
      <c r="L8" s="197"/>
      <c r="M8" s="197"/>
      <c r="N8" s="208">
        <f t="shared" si="0"/>
        <v>522360523.68710959</v>
      </c>
      <c r="O8" s="198"/>
    </row>
    <row r="9" spans="1:16" ht="13.5" customHeight="1">
      <c r="A9" s="200" t="s">
        <v>182</v>
      </c>
      <c r="B9" s="197">
        <v>59928292.589999989</v>
      </c>
      <c r="C9" s="197">
        <v>65062978</v>
      </c>
      <c r="D9" s="197">
        <v>60468926</v>
      </c>
      <c r="E9" s="197">
        <v>50164817</v>
      </c>
      <c r="F9" s="197">
        <v>56446450</v>
      </c>
      <c r="G9" s="197">
        <v>57875800</v>
      </c>
      <c r="H9" s="197"/>
      <c r="I9" s="197"/>
      <c r="J9" s="197"/>
      <c r="K9" s="197"/>
      <c r="L9" s="197"/>
      <c r="M9" s="197"/>
      <c r="N9" s="208">
        <f t="shared" si="0"/>
        <v>349947263.58999997</v>
      </c>
      <c r="O9" s="198"/>
    </row>
    <row r="10" spans="1:16" ht="13.5" customHeight="1">
      <c r="A10" s="200" t="s">
        <v>184</v>
      </c>
      <c r="B10" s="197">
        <v>93620276.390000001</v>
      </c>
      <c r="C10" s="197">
        <v>111422873.09181817</v>
      </c>
      <c r="D10" s="197">
        <v>92136782.599999994</v>
      </c>
      <c r="E10" s="197">
        <v>91683099.450000003</v>
      </c>
      <c r="F10" s="197">
        <v>103090666</v>
      </c>
      <c r="G10" s="197">
        <v>101979862</v>
      </c>
      <c r="H10" s="197"/>
      <c r="I10" s="197"/>
      <c r="J10" s="197"/>
      <c r="K10" s="197"/>
      <c r="L10" s="197"/>
      <c r="M10" s="197"/>
      <c r="N10" s="208">
        <f t="shared" si="0"/>
        <v>593933559.53181815</v>
      </c>
      <c r="O10" s="198"/>
    </row>
    <row r="11" spans="1:16" ht="13.5" customHeight="1">
      <c r="A11" s="200" t="s">
        <v>183</v>
      </c>
      <c r="B11" s="199">
        <v>74213594.280000016</v>
      </c>
      <c r="C11" s="199">
        <v>351698327.71999997</v>
      </c>
      <c r="D11" s="199">
        <v>411614615.36000001</v>
      </c>
      <c r="E11" s="199">
        <v>329062379.49000001</v>
      </c>
      <c r="F11" s="199">
        <v>197394166.34999999</v>
      </c>
      <c r="G11" s="199">
        <v>94751564.400000006</v>
      </c>
      <c r="H11" s="199"/>
      <c r="I11" s="199"/>
      <c r="J11" s="199"/>
      <c r="K11" s="199"/>
      <c r="L11" s="199"/>
      <c r="M11" s="199"/>
      <c r="N11" s="208">
        <f t="shared" si="0"/>
        <v>1458734647.5999999</v>
      </c>
      <c r="O11" s="198"/>
    </row>
    <row r="12" spans="1:16" ht="13.5" customHeight="1">
      <c r="A12" s="205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198">
        <f>SUM(N5:N11)</f>
        <v>14992656705.530779</v>
      </c>
      <c r="O12" s="198"/>
    </row>
    <row r="13" spans="1:16" ht="13.5" customHeight="1">
      <c r="A13" s="203" t="s">
        <v>213</v>
      </c>
      <c r="B13" s="19"/>
    </row>
    <row r="14" spans="1:16" ht="13.5" customHeight="1">
      <c r="A14" s="209" t="s">
        <v>200</v>
      </c>
      <c r="B14" s="202" t="s">
        <v>185</v>
      </c>
      <c r="C14" s="202" t="s">
        <v>186</v>
      </c>
      <c r="D14" s="202" t="s">
        <v>187</v>
      </c>
      <c r="E14" s="202" t="s">
        <v>188</v>
      </c>
      <c r="F14" s="202" t="s">
        <v>189</v>
      </c>
      <c r="G14" s="202" t="s">
        <v>190</v>
      </c>
      <c r="H14" s="202" t="s">
        <v>191</v>
      </c>
      <c r="I14" s="202" t="s">
        <v>192</v>
      </c>
      <c r="J14" s="202" t="s">
        <v>193</v>
      </c>
      <c r="K14" s="202" t="s">
        <v>194</v>
      </c>
      <c r="L14" s="202" t="s">
        <v>195</v>
      </c>
      <c r="M14" s="202" t="s">
        <v>196</v>
      </c>
      <c r="N14" s="207" t="s">
        <v>203</v>
      </c>
      <c r="O14" s="207" t="s">
        <v>197</v>
      </c>
      <c r="P14" s="207" t="s">
        <v>204</v>
      </c>
    </row>
    <row r="15" spans="1:16" ht="13.5" customHeight="1">
      <c r="A15" s="201" t="s">
        <v>178</v>
      </c>
      <c r="B15" s="197">
        <v>1779138031</v>
      </c>
      <c r="C15" s="197">
        <v>2116340570</v>
      </c>
      <c r="D15" s="197">
        <v>1669428446</v>
      </c>
      <c r="E15" s="197">
        <v>1790278986</v>
      </c>
      <c r="F15" s="197">
        <v>1807995090</v>
      </c>
      <c r="G15" s="197">
        <v>1797748106</v>
      </c>
      <c r="H15" s="197">
        <v>1816246688</v>
      </c>
      <c r="I15" s="197">
        <v>1795726362</v>
      </c>
      <c r="J15" s="197">
        <v>1850613198</v>
      </c>
      <c r="K15" s="197">
        <v>1793827148</v>
      </c>
      <c r="L15" s="197">
        <v>1770230494</v>
      </c>
      <c r="M15" s="197">
        <v>1752857389</v>
      </c>
      <c r="N15" s="197">
        <f>SUM(B15:G15)</f>
        <v>10960929229</v>
      </c>
      <c r="O15" s="208">
        <f t="shared" ref="O15:O21" si="1">SUM(H15:M15)</f>
        <v>10779501279</v>
      </c>
      <c r="P15" s="208">
        <f>SUM(N15:O15)</f>
        <v>21740430508</v>
      </c>
    </row>
    <row r="16" spans="1:16" ht="13.5" customHeight="1">
      <c r="A16" s="200" t="s">
        <v>179</v>
      </c>
      <c r="B16" s="197">
        <v>45393546</v>
      </c>
      <c r="C16" s="197">
        <v>50281994</v>
      </c>
      <c r="D16" s="197">
        <v>42612812</v>
      </c>
      <c r="E16" s="197">
        <v>45675928</v>
      </c>
      <c r="F16" s="197">
        <v>46124966</v>
      </c>
      <c r="G16" s="197">
        <v>42360742</v>
      </c>
      <c r="H16" s="197">
        <v>46334114</v>
      </c>
      <c r="I16" s="197">
        <v>45813999</v>
      </c>
      <c r="J16" s="197">
        <v>47205178</v>
      </c>
      <c r="K16" s="197">
        <v>44305965</v>
      </c>
      <c r="L16" s="197">
        <v>45167773</v>
      </c>
      <c r="M16" s="197">
        <v>44727428</v>
      </c>
      <c r="N16" s="197">
        <f>SUM(B16:G16)</f>
        <v>272449988</v>
      </c>
      <c r="O16" s="208">
        <f t="shared" si="1"/>
        <v>273554457</v>
      </c>
      <c r="P16" s="208">
        <f>SUM(N16:O16)</f>
        <v>546004445</v>
      </c>
    </row>
    <row r="17" spans="1:17" ht="13.5" customHeight="1">
      <c r="A17" s="200" t="s">
        <v>180</v>
      </c>
      <c r="B17" s="197">
        <v>62769251</v>
      </c>
      <c r="C17" s="197">
        <v>87920492</v>
      </c>
      <c r="D17" s="197">
        <v>52357368</v>
      </c>
      <c r="E17" s="197">
        <v>55661042</v>
      </c>
      <c r="F17" s="197">
        <v>54014037</v>
      </c>
      <c r="G17" s="197">
        <v>65296427</v>
      </c>
      <c r="H17" s="197">
        <v>68478570</v>
      </c>
      <c r="I17" s="197">
        <v>72638612</v>
      </c>
      <c r="J17" s="197">
        <v>69456108</v>
      </c>
      <c r="K17" s="197">
        <v>66844016</v>
      </c>
      <c r="L17" s="197">
        <v>65591642</v>
      </c>
      <c r="M17" s="197">
        <v>64562568</v>
      </c>
      <c r="N17" s="197">
        <f t="shared" ref="N17" si="2">SUM(B17:G17)</f>
        <v>378018617</v>
      </c>
      <c r="O17" s="208">
        <f t="shared" ref="O17" si="3">SUM(H17:M17)</f>
        <v>407571516</v>
      </c>
      <c r="P17" s="208">
        <f t="shared" ref="P17" si="4">SUM(N17:O17)</f>
        <v>785590133</v>
      </c>
    </row>
    <row r="18" spans="1:17" ht="13.5" customHeight="1">
      <c r="A18" s="200" t="s">
        <v>181</v>
      </c>
      <c r="B18" s="197">
        <v>93845837</v>
      </c>
      <c r="C18" s="197">
        <v>75298111</v>
      </c>
      <c r="D18" s="197">
        <v>75298111</v>
      </c>
      <c r="E18" s="197">
        <v>100356567</v>
      </c>
      <c r="F18" s="197">
        <v>75298111</v>
      </c>
      <c r="G18" s="197">
        <v>75298111</v>
      </c>
      <c r="H18" s="197">
        <v>92915595</v>
      </c>
      <c r="I18" s="197">
        <v>75298111</v>
      </c>
      <c r="J18" s="197">
        <v>75298111</v>
      </c>
      <c r="K18" s="197">
        <v>97885592</v>
      </c>
      <c r="L18" s="197">
        <v>75298111</v>
      </c>
      <c r="M18" s="197">
        <v>75298111</v>
      </c>
      <c r="N18" s="197">
        <f t="shared" ref="N18:N21" si="5">SUM(B18:G18)</f>
        <v>495394848</v>
      </c>
      <c r="O18" s="208">
        <f t="shared" si="1"/>
        <v>491993631</v>
      </c>
      <c r="P18" s="208">
        <f t="shared" ref="P18:P21" si="6">SUM(N18:O18)</f>
        <v>987388479</v>
      </c>
    </row>
    <row r="19" spans="1:17" ht="13.5" customHeight="1">
      <c r="A19" s="200" t="s">
        <v>182</v>
      </c>
      <c r="B19" s="197">
        <v>70106006</v>
      </c>
      <c r="C19" s="197">
        <v>54106483</v>
      </c>
      <c r="D19" s="197">
        <v>51143434</v>
      </c>
      <c r="E19" s="197">
        <v>55097201</v>
      </c>
      <c r="F19" s="197">
        <v>49971504</v>
      </c>
      <c r="G19" s="197">
        <v>52712354</v>
      </c>
      <c r="H19" s="197">
        <v>52586005</v>
      </c>
      <c r="I19" s="197">
        <v>51159028</v>
      </c>
      <c r="J19" s="197">
        <v>52667201</v>
      </c>
      <c r="K19" s="197">
        <v>50649797</v>
      </c>
      <c r="L19" s="197">
        <v>55108025</v>
      </c>
      <c r="M19" s="197">
        <v>58501234</v>
      </c>
      <c r="N19" s="197">
        <f t="shared" si="5"/>
        <v>333136982</v>
      </c>
      <c r="O19" s="208">
        <f t="shared" si="1"/>
        <v>320671290</v>
      </c>
      <c r="P19" s="208">
        <f t="shared" si="6"/>
        <v>653808272</v>
      </c>
    </row>
    <row r="20" spans="1:17" ht="13.5" customHeight="1">
      <c r="A20" s="200" t="s">
        <v>184</v>
      </c>
      <c r="B20" s="197">
        <v>92123561</v>
      </c>
      <c r="C20" s="197">
        <v>84876885</v>
      </c>
      <c r="D20" s="197">
        <v>78586950</v>
      </c>
      <c r="E20" s="197">
        <v>86942420</v>
      </c>
      <c r="F20" s="197">
        <v>83229054</v>
      </c>
      <c r="G20" s="197">
        <v>85936142</v>
      </c>
      <c r="H20" s="197">
        <v>85320662</v>
      </c>
      <c r="I20" s="197">
        <v>86842792</v>
      </c>
      <c r="J20" s="197">
        <v>84629628</v>
      </c>
      <c r="K20" s="197">
        <v>82542891</v>
      </c>
      <c r="L20" s="197">
        <v>87681924</v>
      </c>
      <c r="M20" s="197">
        <v>87544912</v>
      </c>
      <c r="N20" s="197">
        <f t="shared" si="5"/>
        <v>511695012</v>
      </c>
      <c r="O20" s="208">
        <f t="shared" si="1"/>
        <v>514562809</v>
      </c>
      <c r="P20" s="208">
        <f t="shared" si="6"/>
        <v>1026257821</v>
      </c>
    </row>
    <row r="21" spans="1:17" ht="13.5" customHeight="1">
      <c r="A21" s="200" t="s">
        <v>183</v>
      </c>
      <c r="B21" s="199">
        <v>504445940.98958641</v>
      </c>
      <c r="C21" s="199">
        <v>471210672.68521535</v>
      </c>
      <c r="D21" s="199">
        <v>313761516.11514193</v>
      </c>
      <c r="E21" s="199">
        <v>254062863.67724225</v>
      </c>
      <c r="F21" s="199">
        <v>127629151.51332088</v>
      </c>
      <c r="G21" s="199">
        <v>87886265.767818138</v>
      </c>
      <c r="H21" s="199">
        <v>90684937.249016732</v>
      </c>
      <c r="I21" s="199">
        <v>72381460.15957424</v>
      </c>
      <c r="J21" s="199">
        <v>70719231.207020447</v>
      </c>
      <c r="K21" s="199">
        <v>50587994.446568459</v>
      </c>
      <c r="L21" s="199">
        <v>46183902.709281981</v>
      </c>
      <c r="M21" s="199">
        <v>74627169.418321118</v>
      </c>
      <c r="N21" s="197">
        <f t="shared" si="5"/>
        <v>1758996410.7483251</v>
      </c>
      <c r="O21" s="208">
        <f t="shared" si="1"/>
        <v>405184695.18978304</v>
      </c>
      <c r="P21" s="208">
        <f t="shared" si="6"/>
        <v>2164181105.938108</v>
      </c>
    </row>
    <row r="22" spans="1:17" ht="13.5" customHeight="1"/>
    <row r="23" spans="1:17" ht="13.5" customHeight="1">
      <c r="A23" s="203" t="s">
        <v>201</v>
      </c>
    </row>
    <row r="24" spans="1:17" ht="13.5" customHeight="1">
      <c r="A24" s="209" t="s">
        <v>200</v>
      </c>
      <c r="B24" s="210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P24" s="212" t="s">
        <v>199</v>
      </c>
    </row>
    <row r="25" spans="1:17" ht="13.5" customHeight="1">
      <c r="A25" s="201" t="s">
        <v>178</v>
      </c>
      <c r="B25" s="210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P25" s="213">
        <f>+N5+O15</f>
        <v>22133872041.879692</v>
      </c>
    </row>
    <row r="26" spans="1:17" ht="13.5" customHeight="1">
      <c r="A26" s="200" t="s">
        <v>179</v>
      </c>
      <c r="B26" s="210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P26" s="213">
        <f>+N6+O16</f>
        <v>566778558.09431338</v>
      </c>
      <c r="Q26" s="198"/>
    </row>
    <row r="27" spans="1:17" ht="13.5" customHeight="1">
      <c r="A27" s="200" t="s">
        <v>180</v>
      </c>
      <c r="B27" s="210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P27" s="213">
        <f t="shared" ref="P27:P29" si="7">+N7+O17</f>
        <v>827657363.14784455</v>
      </c>
    </row>
    <row r="28" spans="1:17" ht="13.5" customHeight="1">
      <c r="A28" s="200" t="s">
        <v>181</v>
      </c>
      <c r="B28" s="210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P28" s="213">
        <f t="shared" si="7"/>
        <v>1014354154.6871096</v>
      </c>
    </row>
    <row r="29" spans="1:17" ht="13.5" customHeight="1">
      <c r="A29" s="200" t="s">
        <v>182</v>
      </c>
      <c r="B29" s="210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P29" s="213">
        <f t="shared" si="7"/>
        <v>670618553.58999991</v>
      </c>
    </row>
    <row r="30" spans="1:17" ht="13.5" customHeight="1">
      <c r="A30" s="200" t="s">
        <v>184</v>
      </c>
      <c r="B30" s="210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P30" s="213">
        <f>+N10+O20</f>
        <v>1108496368.5318182</v>
      </c>
    </row>
    <row r="31" spans="1:17" ht="13.5" customHeight="1">
      <c r="A31" s="200" t="s">
        <v>183</v>
      </c>
      <c r="B31" s="210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P31" s="213">
        <f>+N11+O21</f>
        <v>1863919342.789783</v>
      </c>
    </row>
    <row r="32" spans="1:17" ht="13.5" customHeight="1">
      <c r="P32" s="198"/>
      <c r="Q32" s="198"/>
    </row>
    <row r="33" spans="1:13" ht="13.5" customHeight="1">
      <c r="A33" s="214" t="s">
        <v>202</v>
      </c>
    </row>
    <row r="40" spans="1:13">
      <c r="M40" s="218"/>
    </row>
  </sheetData>
  <mergeCells count="1">
    <mergeCell ref="A1:P1"/>
  </mergeCells>
  <pageMargins left="0.78740157480314965" right="0.19685039370078741" top="0.15748031496062992" bottom="0.15748031496062992" header="0.15748031496062992" footer="0.15748031496062992"/>
  <pageSetup paperSize="5" scale="77" orientation="landscape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PARTICIPACIONES 2015</vt:lpstr>
      <vt:lpstr>COEF DIST PART</vt:lpstr>
      <vt:lpstr>COEF DIST GASOLINAS</vt:lpstr>
      <vt:lpstr>COEF DIST TEN</vt:lpstr>
      <vt:lpstr>CALCULO GARANTIA</vt:lpstr>
      <vt:lpstr>PART 1 SEM Y PEF</vt:lpstr>
      <vt:lpstr>'CALCULO GARANTIA'!Área_de_impresión</vt:lpstr>
      <vt:lpstr>'COEF DIST GASOLINAS'!Área_de_impresión</vt:lpstr>
      <vt:lpstr>'COEF DIST PART'!Área_de_impresión</vt:lpstr>
      <vt:lpstr>'COEF DIST TEN'!Área_de_impresión</vt:lpstr>
      <vt:lpstr>'PARTICIPACIONES 2015'!Área_de_impresión</vt:lpstr>
      <vt:lpstr>'COEF DIST PART'!Títulos_a_imprimir</vt:lpstr>
      <vt:lpstr>'COEF DIST TEN'!Títulos_a_imprimir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cesar.rivera</cp:lastModifiedBy>
  <cp:lastPrinted>2015-08-21T15:43:12Z</cp:lastPrinted>
  <dcterms:created xsi:type="dcterms:W3CDTF">2009-12-17T23:31:03Z</dcterms:created>
  <dcterms:modified xsi:type="dcterms:W3CDTF">2015-09-07T16:26:48Z</dcterms:modified>
</cp:coreProperties>
</file>