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595" windowHeight="5385" activeTab="4"/>
  </bookViews>
  <sheets>
    <sheet name="PARTICIPACIONES 2015" sheetId="35" r:id="rId1"/>
    <sheet name="COEF DIST PART" sheetId="1" r:id="rId2"/>
    <sheet name="COEF DIST GASOLINAS" sheetId="36" r:id="rId3"/>
    <sheet name="COEF DIST TEN" sheetId="37" r:id="rId4"/>
    <sheet name="CALCULO GARANTIA" sheetId="28" r:id="rId5"/>
    <sheet name="PART 1 SEM Y PEF" sheetId="38" r:id="rId6"/>
  </sheets>
  <externalReferences>
    <externalReference r:id="rId7"/>
    <externalReference r:id="rId8"/>
  </externalReferences>
  <definedNames>
    <definedName name="A_impresión_IM" localSheetId="4">#REF!</definedName>
    <definedName name="A_impresión_IM" localSheetId="2">#REF!</definedName>
    <definedName name="A_impresión_IM" localSheetId="3">#REF!</definedName>
    <definedName name="A_impresión_IM" localSheetId="5">#REF!</definedName>
    <definedName name="A_impresión_IM">#REF!</definedName>
    <definedName name="AJUSTES" localSheetId="4" hidden="1">{"'beneficiarios'!$A$1:$C$7"}</definedName>
    <definedName name="AJUSTES" hidden="1">{"'beneficiarios'!$A$1:$C$7"}</definedName>
    <definedName name="_xlnm.Print_Area" localSheetId="4">'CALCULO GARANTIA'!$A$1:$N$61</definedName>
    <definedName name="_xlnm.Print_Area" localSheetId="2">'COEF DIST GASOLINAS'!$A$1:$N$63</definedName>
    <definedName name="_xlnm.Print_Area" localSheetId="1">'COEF DIST PART'!$A$1:$AS$59</definedName>
    <definedName name="_xlnm.Print_Area" localSheetId="3">'COEF DIST TEN'!$A$1:$AP$63</definedName>
    <definedName name="_xlnm.Print_Area" localSheetId="5">'PART 1 SEM Y PEF'!#REF!</definedName>
    <definedName name="_xlnm.Print_Area" localSheetId="0">'PARTICIPACIONES 2015'!$A$1:$O$31</definedName>
    <definedName name="_xlnm.Database" localSheetId="4">#REF!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>#REF!</definedName>
    <definedName name="cierre_2001" localSheetId="2">'[1]deuda c sadm'!#REF!</definedName>
    <definedName name="cierre_2001" localSheetId="3">'[1]deuda c sadm'!#REF!</definedName>
    <definedName name="cierre_2001" localSheetId="5">'[1]deuda c sadm'!#REF!</definedName>
    <definedName name="cierre_2001">'[1]deuda c sadm'!#REF!</definedName>
    <definedName name="deuda" localSheetId="2">'[1]deuda c sadm'!#REF!</definedName>
    <definedName name="deuda" localSheetId="3">'[1]deuda c sadm'!#REF!</definedName>
    <definedName name="deuda" localSheetId="5">'[1]deuda c sadm'!#REF!</definedName>
    <definedName name="deuda">'[1]deuda c sadm'!#REF!</definedName>
    <definedName name="Deuda_ingTot" localSheetId="2">'[1]deuda c sadm'!#REF!</definedName>
    <definedName name="Deuda_ingTot" localSheetId="3">'[1]deuda c sadm'!#REF!</definedName>
    <definedName name="Deuda_ingTot" localSheetId="5">'[1]deuda c sadm'!#REF!</definedName>
    <definedName name="Deuda_ingTot">'[1]deuda c sadm'!#REF!</definedName>
    <definedName name="ENERO" localSheetId="4">#REF!</definedName>
    <definedName name="ENERO" localSheetId="2">#REF!</definedName>
    <definedName name="ENERO" localSheetId="3">#REF!</definedName>
    <definedName name="ENERO" localSheetId="5">#REF!</definedName>
    <definedName name="ENERO">#REF!</definedName>
    <definedName name="Fto_1" localSheetId="4">#REF!</definedName>
    <definedName name="Fto_1" localSheetId="2">#REF!</definedName>
    <definedName name="Fto_1" localSheetId="3">#REF!</definedName>
    <definedName name="Fto_1" localSheetId="5">#REF!</definedName>
    <definedName name="Fto_1">#REF!</definedName>
    <definedName name="HTML_CodePage" hidden="1">1252</definedName>
    <definedName name="HTML_Control" localSheetId="4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4" hidden="1">{"'beneficiarios'!$A$1:$C$7"}</definedName>
    <definedName name="INDICADORES" hidden="1">{"'beneficiarios'!$A$1:$C$7"}</definedName>
    <definedName name="ingresofederales" localSheetId="4" hidden="1">{"'beneficiarios'!$A$1:$C$7"}</definedName>
    <definedName name="ingresofederales" hidden="1">{"'beneficiarios'!$A$1:$C$7"}</definedName>
    <definedName name="Notas_Fto_1" localSheetId="2">#REF!</definedName>
    <definedName name="Notas_Fto_1" localSheetId="3">#REF!</definedName>
    <definedName name="Notas_Fto_1" localSheetId="5">#REF!</definedName>
    <definedName name="Notas_Fto_1">#REF!</definedName>
    <definedName name="Partidas">[2]TECHO!$B$1:$Q$2798</definedName>
    <definedName name="SINAJUSTE" localSheetId="4" hidden="1">{"'beneficiarios'!$A$1:$C$7"}</definedName>
    <definedName name="SINAJUSTE" hidden="1">{"'beneficiarios'!$A$1:$C$7"}</definedName>
    <definedName name="t">#REF!</definedName>
    <definedName name="_xlnm.Print_Titles" localSheetId="1">'COEF DIST PART'!$A:$A</definedName>
    <definedName name="_xlnm.Print_Titles" localSheetId="3">'COEF DIST TEN'!$A:$A</definedName>
    <definedName name="TOT" localSheetId="2">#REF!</definedName>
    <definedName name="TOT" localSheetId="3">#REF!</definedName>
    <definedName name="TOT" localSheetId="5">#REF!</definedName>
    <definedName name="TOT">#REF!</definedName>
    <definedName name="TOTAL" localSheetId="2">#REF!</definedName>
    <definedName name="TOTAL" localSheetId="3">#REF!</definedName>
    <definedName name="TOTAL" localSheetId="5">#REF!</definedName>
    <definedName name="TOTAL">#REF!</definedName>
  </definedNames>
  <calcPr calcId="125725"/>
</workbook>
</file>

<file path=xl/calcChain.xml><?xml version="1.0" encoding="utf-8"?>
<calcChain xmlns="http://schemas.openxmlformats.org/spreadsheetml/2006/main">
  <c r="C57" i="28"/>
  <c r="C55"/>
  <c r="C44"/>
  <c r="C38"/>
  <c r="C33"/>
  <c r="C32"/>
  <c r="C26"/>
  <c r="C17"/>
  <c r="C16"/>
  <c r="C15"/>
  <c r="C14"/>
  <c r="C12"/>
  <c r="C11"/>
  <c r="C18" i="35"/>
  <c r="C16"/>
  <c r="C14"/>
  <c r="C12"/>
  <c r="C10"/>
  <c r="C8"/>
  <c r="C6"/>
  <c r="C8" i="28" l="1"/>
  <c r="C10"/>
  <c r="C18"/>
  <c r="C20"/>
  <c r="C22"/>
  <c r="C24"/>
  <c r="C28"/>
  <c r="C30"/>
  <c r="C34"/>
  <c r="C36"/>
  <c r="C40"/>
  <c r="C42"/>
  <c r="C46"/>
  <c r="C48"/>
  <c r="C50"/>
  <c r="C52"/>
  <c r="C54"/>
  <c r="C56"/>
  <c r="C9"/>
  <c r="C13"/>
  <c r="C19"/>
  <c r="C21"/>
  <c r="C23"/>
  <c r="C25"/>
  <c r="C27"/>
  <c r="C29"/>
  <c r="C31"/>
  <c r="C35"/>
  <c r="C37"/>
  <c r="C39"/>
  <c r="C41"/>
  <c r="C43"/>
  <c r="C45"/>
  <c r="C47"/>
  <c r="C49"/>
  <c r="C51"/>
  <c r="C53"/>
  <c r="N21" i="38"/>
  <c r="N19"/>
  <c r="B58" i="28" l="1"/>
  <c r="N20" i="38"/>
  <c r="O17"/>
  <c r="N17"/>
  <c r="P17" l="1"/>
  <c r="N18"/>
  <c r="N16"/>
  <c r="N15"/>
  <c r="N7" l="1"/>
  <c r="P27" s="1"/>
  <c r="N11"/>
  <c r="N10"/>
  <c r="O21"/>
  <c r="O20"/>
  <c r="P20" s="1"/>
  <c r="O19"/>
  <c r="P19" s="1"/>
  <c r="O18"/>
  <c r="P18" s="1"/>
  <c r="O16"/>
  <c r="P16" s="1"/>
  <c r="O15"/>
  <c r="P15" s="1"/>
  <c r="N6" l="1"/>
  <c r="P26" s="1"/>
  <c r="N5"/>
  <c r="P25" s="1"/>
  <c r="P30"/>
  <c r="P31"/>
  <c r="N8"/>
  <c r="N9"/>
  <c r="P28" l="1"/>
  <c r="P29"/>
  <c r="AC58" i="37"/>
  <c r="AB58"/>
  <c r="AA58"/>
  <c r="Z58"/>
  <c r="AD58" s="1"/>
  <c r="AC57"/>
  <c r="AB57"/>
  <c r="AA57"/>
  <c r="Z57"/>
  <c r="AD57" s="1"/>
  <c r="AC56"/>
  <c r="AB56"/>
  <c r="AA56"/>
  <c r="Z56"/>
  <c r="AD56" s="1"/>
  <c r="AC55"/>
  <c r="AB55"/>
  <c r="AA55"/>
  <c r="Z55"/>
  <c r="AD55" s="1"/>
  <c r="AC54"/>
  <c r="AB54"/>
  <c r="AA54"/>
  <c r="Z54"/>
  <c r="AD54" s="1"/>
  <c r="AC53"/>
  <c r="AB53"/>
  <c r="AA53"/>
  <c r="Z53"/>
  <c r="AD53" s="1"/>
  <c r="AC52"/>
  <c r="AB52"/>
  <c r="AA52"/>
  <c r="Z52"/>
  <c r="AD52" s="1"/>
  <c r="AC51"/>
  <c r="AB51"/>
  <c r="AA51"/>
  <c r="Z51"/>
  <c r="AD51" s="1"/>
  <c r="AC50"/>
  <c r="AB50"/>
  <c r="AA50"/>
  <c r="Z50"/>
  <c r="AD50" s="1"/>
  <c r="AC49"/>
  <c r="AB49"/>
  <c r="AA49"/>
  <c r="Z49"/>
  <c r="AD49" s="1"/>
  <c r="AC48"/>
  <c r="AB48"/>
  <c r="AA48"/>
  <c r="Z48"/>
  <c r="AD48" s="1"/>
  <c r="AC47"/>
  <c r="AB47"/>
  <c r="AA47"/>
  <c r="Z47"/>
  <c r="AD47" s="1"/>
  <c r="AC46"/>
  <c r="AB46"/>
  <c r="AA46"/>
  <c r="Z46"/>
  <c r="AD46" s="1"/>
  <c r="AC45"/>
  <c r="AB45"/>
  <c r="AA45"/>
  <c r="Z45"/>
  <c r="AD45" s="1"/>
  <c r="AC44"/>
  <c r="AB44"/>
  <c r="AA44"/>
  <c r="Z44"/>
  <c r="AD44" s="1"/>
  <c r="AC43"/>
  <c r="AB43"/>
  <c r="AA43"/>
  <c r="Z43"/>
  <c r="AD43" s="1"/>
  <c r="AC42"/>
  <c r="AB42"/>
  <c r="AA42"/>
  <c r="Z42"/>
  <c r="AD42" s="1"/>
  <c r="AC41"/>
  <c r="AB41"/>
  <c r="AA41"/>
  <c r="Z41"/>
  <c r="AD41" s="1"/>
  <c r="AC40"/>
  <c r="AB40"/>
  <c r="AA40"/>
  <c r="Z40"/>
  <c r="AD40" s="1"/>
  <c r="AC39"/>
  <c r="AB39"/>
  <c r="AA39"/>
  <c r="Z39"/>
  <c r="AD39" s="1"/>
  <c r="AC38"/>
  <c r="AB38"/>
  <c r="AA38"/>
  <c r="Z38"/>
  <c r="AD38" s="1"/>
  <c r="AC37"/>
  <c r="AB37"/>
  <c r="AA37"/>
  <c r="Z37"/>
  <c r="AD37" s="1"/>
  <c r="AC36"/>
  <c r="AB36"/>
  <c r="AA36"/>
  <c r="Z36"/>
  <c r="AD36" s="1"/>
  <c r="AC35"/>
  <c r="AB35"/>
  <c r="AA35"/>
  <c r="Z35"/>
  <c r="AD35" s="1"/>
  <c r="AC34"/>
  <c r="AB34"/>
  <c r="AA34"/>
  <c r="Z34"/>
  <c r="AD34" s="1"/>
  <c r="AC33"/>
  <c r="AB33"/>
  <c r="AA33"/>
  <c r="Z33"/>
  <c r="AD33" s="1"/>
  <c r="AC32"/>
  <c r="AB32"/>
  <c r="AA32"/>
  <c r="Z32"/>
  <c r="AD32" s="1"/>
  <c r="AC31"/>
  <c r="AB31"/>
  <c r="AA31"/>
  <c r="Z31"/>
  <c r="AC30"/>
  <c r="AB30"/>
  <c r="AA30"/>
  <c r="Z30"/>
  <c r="AC29"/>
  <c r="AB29"/>
  <c r="AA29"/>
  <c r="Z29"/>
  <c r="AC28"/>
  <c r="AB28"/>
  <c r="AA28"/>
  <c r="Z28"/>
  <c r="AC27"/>
  <c r="AB27"/>
  <c r="AA27"/>
  <c r="Z27"/>
  <c r="AC26"/>
  <c r="AB26"/>
  <c r="AA26"/>
  <c r="Z26"/>
  <c r="AC25"/>
  <c r="AB25"/>
  <c r="AA25"/>
  <c r="Z25"/>
  <c r="AC24"/>
  <c r="AB24"/>
  <c r="AA24"/>
  <c r="Z24"/>
  <c r="AC23"/>
  <c r="AB23"/>
  <c r="AA23"/>
  <c r="Z23"/>
  <c r="AC22"/>
  <c r="AB22"/>
  <c r="AA22"/>
  <c r="Z22"/>
  <c r="AC21"/>
  <c r="AB21"/>
  <c r="AA21"/>
  <c r="Z21"/>
  <c r="AC20"/>
  <c r="AB20"/>
  <c r="AA20"/>
  <c r="Z20"/>
  <c r="AC19"/>
  <c r="AB19"/>
  <c r="AA19"/>
  <c r="Z19"/>
  <c r="AC18"/>
  <c r="AB18"/>
  <c r="AA18"/>
  <c r="Z18"/>
  <c r="AC17"/>
  <c r="AB17"/>
  <c r="AA17"/>
  <c r="Z17"/>
  <c r="AC16"/>
  <c r="AB16"/>
  <c r="AA16"/>
  <c r="Z16"/>
  <c r="AC15"/>
  <c r="AB15"/>
  <c r="AA15"/>
  <c r="Z15"/>
  <c r="AC14"/>
  <c r="AB14"/>
  <c r="AA14"/>
  <c r="Z14"/>
  <c r="AC13"/>
  <c r="AB13"/>
  <c r="AA13"/>
  <c r="Z13"/>
  <c r="AC12"/>
  <c r="AB12"/>
  <c r="AA12"/>
  <c r="Z12"/>
  <c r="AC11"/>
  <c r="AB11"/>
  <c r="AA11"/>
  <c r="Z11"/>
  <c r="AC10"/>
  <c r="AB10"/>
  <c r="AA10"/>
  <c r="Z10"/>
  <c r="AC9"/>
  <c r="AB9"/>
  <c r="AA9"/>
  <c r="Z9"/>
  <c r="AC8"/>
  <c r="AC59" s="1"/>
  <c r="AB8"/>
  <c r="AB59" s="1"/>
  <c r="AA8"/>
  <c r="AA59" s="1"/>
  <c r="Z8"/>
  <c r="Z59" s="1"/>
  <c r="T58"/>
  <c r="S58"/>
  <c r="R58"/>
  <c r="Q58"/>
  <c r="T57"/>
  <c r="S57"/>
  <c r="R57"/>
  <c r="Q57"/>
  <c r="T56"/>
  <c r="S56"/>
  <c r="R56"/>
  <c r="Q56"/>
  <c r="T55"/>
  <c r="S55"/>
  <c r="R55"/>
  <c r="Q55"/>
  <c r="T54"/>
  <c r="S54"/>
  <c r="R54"/>
  <c r="Q54"/>
  <c r="T53"/>
  <c r="S53"/>
  <c r="R53"/>
  <c r="Q53"/>
  <c r="T52"/>
  <c r="S52"/>
  <c r="R52"/>
  <c r="Q52"/>
  <c r="T51"/>
  <c r="S51"/>
  <c r="R51"/>
  <c r="Q51"/>
  <c r="T50"/>
  <c r="S50"/>
  <c r="R50"/>
  <c r="Q50"/>
  <c r="T49"/>
  <c r="S49"/>
  <c r="R49"/>
  <c r="Q49"/>
  <c r="T48"/>
  <c r="S48"/>
  <c r="R48"/>
  <c r="Q48"/>
  <c r="T47"/>
  <c r="S47"/>
  <c r="R47"/>
  <c r="Q47"/>
  <c r="T46"/>
  <c r="S46"/>
  <c r="R46"/>
  <c r="Q46"/>
  <c r="T45"/>
  <c r="S45"/>
  <c r="R45"/>
  <c r="Q45"/>
  <c r="T44"/>
  <c r="S44"/>
  <c r="R44"/>
  <c r="Q44"/>
  <c r="T43"/>
  <c r="S43"/>
  <c r="R43"/>
  <c r="Q43"/>
  <c r="T42"/>
  <c r="S42"/>
  <c r="R42"/>
  <c r="Q42"/>
  <c r="T41"/>
  <c r="S41"/>
  <c r="R41"/>
  <c r="Q41"/>
  <c r="T40"/>
  <c r="S40"/>
  <c r="R40"/>
  <c r="Q40"/>
  <c r="T39"/>
  <c r="S39"/>
  <c r="R39"/>
  <c r="Q39"/>
  <c r="T38"/>
  <c r="S38"/>
  <c r="R38"/>
  <c r="Q38"/>
  <c r="T37"/>
  <c r="S37"/>
  <c r="R37"/>
  <c r="Q37"/>
  <c r="T36"/>
  <c r="S36"/>
  <c r="R36"/>
  <c r="Q36"/>
  <c r="T35"/>
  <c r="S35"/>
  <c r="R35"/>
  <c r="Q35"/>
  <c r="T34"/>
  <c r="S34"/>
  <c r="R34"/>
  <c r="Q34"/>
  <c r="T33"/>
  <c r="S33"/>
  <c r="R33"/>
  <c r="Q33"/>
  <c r="T32"/>
  <c r="S32"/>
  <c r="R32"/>
  <c r="Q32"/>
  <c r="T31"/>
  <c r="S31"/>
  <c r="R31"/>
  <c r="Q31"/>
  <c r="T30"/>
  <c r="S30"/>
  <c r="R30"/>
  <c r="Q30"/>
  <c r="T29"/>
  <c r="S29"/>
  <c r="R29"/>
  <c r="Q29"/>
  <c r="T28"/>
  <c r="S28"/>
  <c r="R28"/>
  <c r="Q28"/>
  <c r="U28" s="1"/>
  <c r="T27"/>
  <c r="S27"/>
  <c r="R27"/>
  <c r="Q27"/>
  <c r="U27" s="1"/>
  <c r="T26"/>
  <c r="S26"/>
  <c r="R26"/>
  <c r="Q26"/>
  <c r="U26" s="1"/>
  <c r="T25"/>
  <c r="S25"/>
  <c r="R25"/>
  <c r="Q25"/>
  <c r="U25" s="1"/>
  <c r="T24"/>
  <c r="S24"/>
  <c r="R24"/>
  <c r="Q24"/>
  <c r="T23"/>
  <c r="S23"/>
  <c r="R23"/>
  <c r="Q23"/>
  <c r="U23" s="1"/>
  <c r="T22"/>
  <c r="S22"/>
  <c r="R22"/>
  <c r="Q22"/>
  <c r="U22" s="1"/>
  <c r="T21"/>
  <c r="S21"/>
  <c r="R21"/>
  <c r="Q21"/>
  <c r="U21" s="1"/>
  <c r="T20"/>
  <c r="S20"/>
  <c r="R20"/>
  <c r="Q20"/>
  <c r="U20" s="1"/>
  <c r="T19"/>
  <c r="S19"/>
  <c r="R19"/>
  <c r="Q19"/>
  <c r="U19" s="1"/>
  <c r="T18"/>
  <c r="S18"/>
  <c r="R18"/>
  <c r="Q18"/>
  <c r="T17"/>
  <c r="S17"/>
  <c r="R17"/>
  <c r="Q17"/>
  <c r="U17" s="1"/>
  <c r="T16"/>
  <c r="S16"/>
  <c r="R16"/>
  <c r="Q16"/>
  <c r="U16" s="1"/>
  <c r="T15"/>
  <c r="S15"/>
  <c r="R15"/>
  <c r="Q15"/>
  <c r="U15" s="1"/>
  <c r="T14"/>
  <c r="S14"/>
  <c r="R14"/>
  <c r="Q14"/>
  <c r="U14" s="1"/>
  <c r="T13"/>
  <c r="S13"/>
  <c r="R13"/>
  <c r="Q13"/>
  <c r="U13" s="1"/>
  <c r="T12"/>
  <c r="S12"/>
  <c r="R12"/>
  <c r="Q12"/>
  <c r="U12" s="1"/>
  <c r="T11"/>
  <c r="S11"/>
  <c r="R11"/>
  <c r="Q11"/>
  <c r="U11" s="1"/>
  <c r="T10"/>
  <c r="S10"/>
  <c r="R10"/>
  <c r="Q10"/>
  <c r="U10" s="1"/>
  <c r="T9"/>
  <c r="S9"/>
  <c r="R9"/>
  <c r="Q9"/>
  <c r="U9" s="1"/>
  <c r="T8"/>
  <c r="T59" s="1"/>
  <c r="S8"/>
  <c r="S59" s="1"/>
  <c r="R8"/>
  <c r="R59" s="1"/>
  <c r="Q8"/>
  <c r="Q59" s="1"/>
  <c r="Z58" i="1"/>
  <c r="Y58"/>
  <c r="X58"/>
  <c r="W58"/>
  <c r="AA58" s="1"/>
  <c r="Z57"/>
  <c r="Y57"/>
  <c r="X57"/>
  <c r="W57"/>
  <c r="AA57" s="1"/>
  <c r="Z56"/>
  <c r="Y56"/>
  <c r="X56"/>
  <c r="W56"/>
  <c r="AA56" s="1"/>
  <c r="Z55"/>
  <c r="Y55"/>
  <c r="X55"/>
  <c r="W55"/>
  <c r="AA55" s="1"/>
  <c r="Z54"/>
  <c r="Y54"/>
  <c r="X54"/>
  <c r="W54"/>
  <c r="AA54" s="1"/>
  <c r="Z53"/>
  <c r="Y53"/>
  <c r="X53"/>
  <c r="W53"/>
  <c r="AA53" s="1"/>
  <c r="Z52"/>
  <c r="Y52"/>
  <c r="X52"/>
  <c r="W52"/>
  <c r="AA52" s="1"/>
  <c r="Z51"/>
  <c r="Y51"/>
  <c r="X51"/>
  <c r="W51"/>
  <c r="AA51" s="1"/>
  <c r="Z50"/>
  <c r="Y50"/>
  <c r="X50"/>
  <c r="W50"/>
  <c r="AA50" s="1"/>
  <c r="Z49"/>
  <c r="Y49"/>
  <c r="X49"/>
  <c r="W49"/>
  <c r="AA49" s="1"/>
  <c r="Z48"/>
  <c r="Y48"/>
  <c r="X48"/>
  <c r="W48"/>
  <c r="AA48" s="1"/>
  <c r="Z47"/>
  <c r="Y47"/>
  <c r="X47"/>
  <c r="W47"/>
  <c r="AA47" s="1"/>
  <c r="Z46"/>
  <c r="Y46"/>
  <c r="X46"/>
  <c r="W46"/>
  <c r="AA46" s="1"/>
  <c r="Z45"/>
  <c r="Y45"/>
  <c r="X45"/>
  <c r="W45"/>
  <c r="AA45" s="1"/>
  <c r="Z44"/>
  <c r="Y44"/>
  <c r="X44"/>
  <c r="W44"/>
  <c r="AA44" s="1"/>
  <c r="Z43"/>
  <c r="Y43"/>
  <c r="X43"/>
  <c r="W43"/>
  <c r="AA43" s="1"/>
  <c r="Z42"/>
  <c r="Y42"/>
  <c r="X42"/>
  <c r="W42"/>
  <c r="AA42" s="1"/>
  <c r="Z41"/>
  <c r="Y41"/>
  <c r="X41"/>
  <c r="W41"/>
  <c r="AA41" s="1"/>
  <c r="Z40"/>
  <c r="Y40"/>
  <c r="X40"/>
  <c r="W40"/>
  <c r="AA40" s="1"/>
  <c r="Z39"/>
  <c r="Y39"/>
  <c r="X39"/>
  <c r="W39"/>
  <c r="AA39" s="1"/>
  <c r="Z38"/>
  <c r="Y38"/>
  <c r="X38"/>
  <c r="W38"/>
  <c r="AA38" s="1"/>
  <c r="Z37"/>
  <c r="Y37"/>
  <c r="X37"/>
  <c r="W37"/>
  <c r="AA37" s="1"/>
  <c r="Z36"/>
  <c r="Y36"/>
  <c r="X36"/>
  <c r="W36"/>
  <c r="AA36" s="1"/>
  <c r="Z35"/>
  <c r="Y35"/>
  <c r="X35"/>
  <c r="W35"/>
  <c r="AA35" s="1"/>
  <c r="Z34"/>
  <c r="Y34"/>
  <c r="X34"/>
  <c r="W34"/>
  <c r="AA34" s="1"/>
  <c r="Z33"/>
  <c r="Y33"/>
  <c r="X33"/>
  <c r="W33"/>
  <c r="AA33" s="1"/>
  <c r="Z32"/>
  <c r="Y32"/>
  <c r="X32"/>
  <c r="W32"/>
  <c r="AA32" s="1"/>
  <c r="Z31"/>
  <c r="Y31"/>
  <c r="X31"/>
  <c r="W31"/>
  <c r="AA31" s="1"/>
  <c r="Z30"/>
  <c r="Y30"/>
  <c r="X30"/>
  <c r="W30"/>
  <c r="AA30" s="1"/>
  <c r="Z29"/>
  <c r="Y29"/>
  <c r="X29"/>
  <c r="W29"/>
  <c r="AA29" s="1"/>
  <c r="Z28"/>
  <c r="Y28"/>
  <c r="X28"/>
  <c r="W28"/>
  <c r="AA28" s="1"/>
  <c r="Z27"/>
  <c r="Y27"/>
  <c r="X27"/>
  <c r="W27"/>
  <c r="AA27" s="1"/>
  <c r="Z26"/>
  <c r="Y26"/>
  <c r="X26"/>
  <c r="W26"/>
  <c r="AA26" s="1"/>
  <c r="Z25"/>
  <c r="Y25"/>
  <c r="X25"/>
  <c r="W25"/>
  <c r="AA25" s="1"/>
  <c r="Z24"/>
  <c r="Y24"/>
  <c r="X24"/>
  <c r="W24"/>
  <c r="AA24" s="1"/>
  <c r="Z23"/>
  <c r="Y23"/>
  <c r="X23"/>
  <c r="W23"/>
  <c r="AA23" s="1"/>
  <c r="Z22"/>
  <c r="Y22"/>
  <c r="X22"/>
  <c r="W22"/>
  <c r="AA22" s="1"/>
  <c r="Z21"/>
  <c r="Y21"/>
  <c r="X21"/>
  <c r="W21"/>
  <c r="AA21" s="1"/>
  <c r="Z20"/>
  <c r="Y20"/>
  <c r="X20"/>
  <c r="W20"/>
  <c r="AA20" s="1"/>
  <c r="Z19"/>
  <c r="Y19"/>
  <c r="X19"/>
  <c r="W19"/>
  <c r="AA19" s="1"/>
  <c r="Z18"/>
  <c r="Y18"/>
  <c r="X18"/>
  <c r="W18"/>
  <c r="AA18" s="1"/>
  <c r="Z17"/>
  <c r="Y17"/>
  <c r="X17"/>
  <c r="W17"/>
  <c r="AA17" s="1"/>
  <c r="Z16"/>
  <c r="Y16"/>
  <c r="X16"/>
  <c r="W16"/>
  <c r="AA16" s="1"/>
  <c r="Z15"/>
  <c r="Y15"/>
  <c r="X15"/>
  <c r="W15"/>
  <c r="AA15" s="1"/>
  <c r="Z14"/>
  <c r="Y14"/>
  <c r="X14"/>
  <c r="W14"/>
  <c r="AA14" s="1"/>
  <c r="Z13"/>
  <c r="Y13"/>
  <c r="X13"/>
  <c r="W13"/>
  <c r="AA13" s="1"/>
  <c r="Z12"/>
  <c r="Y12"/>
  <c r="X12"/>
  <c r="W12"/>
  <c r="AA12" s="1"/>
  <c r="Z11"/>
  <c r="Y11"/>
  <c r="X11"/>
  <c r="W11"/>
  <c r="AA11" s="1"/>
  <c r="Z10"/>
  <c r="Y10"/>
  <c r="X10"/>
  <c r="W10"/>
  <c r="AA10" s="1"/>
  <c r="Z9"/>
  <c r="Y9"/>
  <c r="X9"/>
  <c r="W9"/>
  <c r="AA9" s="1"/>
  <c r="Z8"/>
  <c r="Z59" s="1"/>
  <c r="Y8"/>
  <c r="Y59" s="1"/>
  <c r="X8"/>
  <c r="X59" s="1"/>
  <c r="W8"/>
  <c r="W59" s="1"/>
  <c r="Q58"/>
  <c r="P58"/>
  <c r="O58"/>
  <c r="N58"/>
  <c r="R58" s="1"/>
  <c r="Q57"/>
  <c r="P57"/>
  <c r="O57"/>
  <c r="N57"/>
  <c r="R57" s="1"/>
  <c r="Q56"/>
  <c r="P56"/>
  <c r="O56"/>
  <c r="N56"/>
  <c r="R56" s="1"/>
  <c r="Q55"/>
  <c r="P55"/>
  <c r="O55"/>
  <c r="N55"/>
  <c r="R55" s="1"/>
  <c r="Q54"/>
  <c r="P54"/>
  <c r="O54"/>
  <c r="N54"/>
  <c r="R54" s="1"/>
  <c r="Q53"/>
  <c r="P53"/>
  <c r="O53"/>
  <c r="N53"/>
  <c r="R53" s="1"/>
  <c r="Q52"/>
  <c r="P52"/>
  <c r="O52"/>
  <c r="N52"/>
  <c r="R52" s="1"/>
  <c r="Q51"/>
  <c r="P51"/>
  <c r="O51"/>
  <c r="N51"/>
  <c r="R51" s="1"/>
  <c r="Q50"/>
  <c r="P50"/>
  <c r="O50"/>
  <c r="N50"/>
  <c r="R50" s="1"/>
  <c r="Q49"/>
  <c r="P49"/>
  <c r="O49"/>
  <c r="N49"/>
  <c r="R49" s="1"/>
  <c r="Q48"/>
  <c r="P48"/>
  <c r="O48"/>
  <c r="N48"/>
  <c r="R48" s="1"/>
  <c r="Q47"/>
  <c r="P47"/>
  <c r="O47"/>
  <c r="N47"/>
  <c r="R47" s="1"/>
  <c r="Q46"/>
  <c r="P46"/>
  <c r="O46"/>
  <c r="N46"/>
  <c r="R46" s="1"/>
  <c r="Q45"/>
  <c r="P45"/>
  <c r="O45"/>
  <c r="N45"/>
  <c r="R45" s="1"/>
  <c r="Q44"/>
  <c r="P44"/>
  <c r="O44"/>
  <c r="N44"/>
  <c r="R44" s="1"/>
  <c r="Q43"/>
  <c r="P43"/>
  <c r="O43"/>
  <c r="N43"/>
  <c r="R43" s="1"/>
  <c r="Q42"/>
  <c r="P42"/>
  <c r="O42"/>
  <c r="N42"/>
  <c r="R42" s="1"/>
  <c r="Q41"/>
  <c r="P41"/>
  <c r="O41"/>
  <c r="N41"/>
  <c r="R41" s="1"/>
  <c r="Q40"/>
  <c r="P40"/>
  <c r="O40"/>
  <c r="N40"/>
  <c r="R40" s="1"/>
  <c r="Q39"/>
  <c r="P39"/>
  <c r="O39"/>
  <c r="N39"/>
  <c r="R39" s="1"/>
  <c r="Q38"/>
  <c r="P38"/>
  <c r="O38"/>
  <c r="N38"/>
  <c r="R38" s="1"/>
  <c r="Q37"/>
  <c r="P37"/>
  <c r="O37"/>
  <c r="N37"/>
  <c r="R37" s="1"/>
  <c r="Q36"/>
  <c r="P36"/>
  <c r="O36"/>
  <c r="N36"/>
  <c r="R36" s="1"/>
  <c r="Q35"/>
  <c r="P35"/>
  <c r="O35"/>
  <c r="N35"/>
  <c r="R35" s="1"/>
  <c r="Q34"/>
  <c r="P34"/>
  <c r="O34"/>
  <c r="N34"/>
  <c r="R34" s="1"/>
  <c r="Q33"/>
  <c r="P33"/>
  <c r="O33"/>
  <c r="N33"/>
  <c r="R33" s="1"/>
  <c r="Q32"/>
  <c r="P32"/>
  <c r="O32"/>
  <c r="N32"/>
  <c r="R32" s="1"/>
  <c r="Q31"/>
  <c r="P31"/>
  <c r="O31"/>
  <c r="N31"/>
  <c r="R31" s="1"/>
  <c r="Q30"/>
  <c r="P30"/>
  <c r="O30"/>
  <c r="N30"/>
  <c r="R30" s="1"/>
  <c r="Q29"/>
  <c r="P29"/>
  <c r="O29"/>
  <c r="N29"/>
  <c r="R29" s="1"/>
  <c r="Q28"/>
  <c r="P28"/>
  <c r="O28"/>
  <c r="N28"/>
  <c r="R28" s="1"/>
  <c r="Q27"/>
  <c r="P27"/>
  <c r="O27"/>
  <c r="N27"/>
  <c r="R27" s="1"/>
  <c r="Q26"/>
  <c r="P26"/>
  <c r="O26"/>
  <c r="N26"/>
  <c r="R26" s="1"/>
  <c r="Q25"/>
  <c r="P25"/>
  <c r="O25"/>
  <c r="N25"/>
  <c r="R25" s="1"/>
  <c r="Q24"/>
  <c r="P24"/>
  <c r="O24"/>
  <c r="N24"/>
  <c r="R24" s="1"/>
  <c r="Q23"/>
  <c r="P23"/>
  <c r="O23"/>
  <c r="N23"/>
  <c r="R23" s="1"/>
  <c r="Q22"/>
  <c r="P22"/>
  <c r="O22"/>
  <c r="N22"/>
  <c r="R22" s="1"/>
  <c r="Q21"/>
  <c r="P21"/>
  <c r="O21"/>
  <c r="N21"/>
  <c r="R21" s="1"/>
  <c r="Q20"/>
  <c r="P20"/>
  <c r="O20"/>
  <c r="N20"/>
  <c r="Q19"/>
  <c r="P19"/>
  <c r="O19"/>
  <c r="N19"/>
  <c r="R19" s="1"/>
  <c r="Q18"/>
  <c r="P18"/>
  <c r="O18"/>
  <c r="N18"/>
  <c r="R18" s="1"/>
  <c r="Q17"/>
  <c r="P17"/>
  <c r="O17"/>
  <c r="N17"/>
  <c r="R17" s="1"/>
  <c r="Q16"/>
  <c r="P16"/>
  <c r="O16"/>
  <c r="N16"/>
  <c r="R16" s="1"/>
  <c r="Q15"/>
  <c r="P15"/>
  <c r="O15"/>
  <c r="N15"/>
  <c r="R15" s="1"/>
  <c r="Q14"/>
  <c r="P14"/>
  <c r="O14"/>
  <c r="N14"/>
  <c r="R14" s="1"/>
  <c r="Q13"/>
  <c r="P13"/>
  <c r="O13"/>
  <c r="N13"/>
  <c r="R13" s="1"/>
  <c r="Q12"/>
  <c r="P12"/>
  <c r="O12"/>
  <c r="N12"/>
  <c r="R12" s="1"/>
  <c r="Q11"/>
  <c r="P11"/>
  <c r="O11"/>
  <c r="N11"/>
  <c r="R11" s="1"/>
  <c r="Q10"/>
  <c r="P10"/>
  <c r="O10"/>
  <c r="N10"/>
  <c r="R10" s="1"/>
  <c r="Q9"/>
  <c r="P9"/>
  <c r="O9"/>
  <c r="N9"/>
  <c r="R9" s="1"/>
  <c r="Q8"/>
  <c r="Q59" s="1"/>
  <c r="P8"/>
  <c r="P59" s="1"/>
  <c r="O8"/>
  <c r="O59" s="1"/>
  <c r="N8"/>
  <c r="N59" s="1"/>
  <c r="R20" l="1"/>
  <c r="U29" i="37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U24"/>
  <c r="U18"/>
  <c r="AA8" i="1"/>
  <c r="R8"/>
  <c r="AD8" i="37"/>
  <c r="U8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O6"/>
  <c r="AN6" s="1"/>
  <c r="B59"/>
  <c r="C59" s="1"/>
  <c r="AD59"/>
  <c r="U59"/>
  <c r="H59"/>
  <c r="I59" s="1"/>
  <c r="E59"/>
  <c r="F58" s="1"/>
  <c r="G58" s="1"/>
  <c r="AF58"/>
  <c r="AG58" s="1"/>
  <c r="AF57"/>
  <c r="AG57" s="1"/>
  <c r="AF56"/>
  <c r="AG56" s="1"/>
  <c r="AF55"/>
  <c r="AG55" s="1"/>
  <c r="AF54"/>
  <c r="AG54" s="1"/>
  <c r="AF53"/>
  <c r="AG53" s="1"/>
  <c r="F53"/>
  <c r="G53" s="1"/>
  <c r="AF52"/>
  <c r="AG52" s="1"/>
  <c r="I52"/>
  <c r="J52" s="1"/>
  <c r="AF51"/>
  <c r="AG51" s="1"/>
  <c r="I51"/>
  <c r="J51" s="1"/>
  <c r="F51"/>
  <c r="G51" s="1"/>
  <c r="AF50"/>
  <c r="AG50" s="1"/>
  <c r="AF49"/>
  <c r="AG49" s="1"/>
  <c r="F49"/>
  <c r="G49" s="1"/>
  <c r="AF48"/>
  <c r="AG48" s="1"/>
  <c r="I48"/>
  <c r="J48" s="1"/>
  <c r="AF47"/>
  <c r="AG47" s="1"/>
  <c r="I47"/>
  <c r="J47" s="1"/>
  <c r="F47"/>
  <c r="G47" s="1"/>
  <c r="AF46"/>
  <c r="AG46" s="1"/>
  <c r="I46"/>
  <c r="J46" s="1"/>
  <c r="AF45"/>
  <c r="AG45" s="1"/>
  <c r="I45"/>
  <c r="J45" s="1"/>
  <c r="F45"/>
  <c r="G45" s="1"/>
  <c r="AF44"/>
  <c r="AG44" s="1"/>
  <c r="I44"/>
  <c r="J44" s="1"/>
  <c r="AF43"/>
  <c r="AG43" s="1"/>
  <c r="I43"/>
  <c r="J43" s="1"/>
  <c r="F43"/>
  <c r="G43" s="1"/>
  <c r="AF42"/>
  <c r="AG42" s="1"/>
  <c r="I42"/>
  <c r="J42" s="1"/>
  <c r="AF41"/>
  <c r="AG41" s="1"/>
  <c r="I41"/>
  <c r="J41" s="1"/>
  <c r="F41"/>
  <c r="G41" s="1"/>
  <c r="AF40"/>
  <c r="AG40" s="1"/>
  <c r="I40"/>
  <c r="J40" s="1"/>
  <c r="AF39"/>
  <c r="AG39" s="1"/>
  <c r="I39"/>
  <c r="J39" s="1"/>
  <c r="F39"/>
  <c r="G39" s="1"/>
  <c r="AF38"/>
  <c r="AG38" s="1"/>
  <c r="I38"/>
  <c r="J38" s="1"/>
  <c r="AF37"/>
  <c r="AG37" s="1"/>
  <c r="I37"/>
  <c r="J37" s="1"/>
  <c r="F37"/>
  <c r="G37" s="1"/>
  <c r="AF36"/>
  <c r="AG36" s="1"/>
  <c r="I36"/>
  <c r="J36" s="1"/>
  <c r="AF35"/>
  <c r="AG35" s="1"/>
  <c r="I35"/>
  <c r="J35" s="1"/>
  <c r="F35"/>
  <c r="G35" s="1"/>
  <c r="AF34"/>
  <c r="AG34" s="1"/>
  <c r="I34"/>
  <c r="J34" s="1"/>
  <c r="AF33"/>
  <c r="AG33" s="1"/>
  <c r="I33"/>
  <c r="J33" s="1"/>
  <c r="F33"/>
  <c r="G33" s="1"/>
  <c r="AF32"/>
  <c r="AG32" s="1"/>
  <c r="I32"/>
  <c r="J32" s="1"/>
  <c r="AF31"/>
  <c r="AG31" s="1"/>
  <c r="I31"/>
  <c r="J31" s="1"/>
  <c r="F31"/>
  <c r="G31" s="1"/>
  <c r="AF30"/>
  <c r="AG30" s="1"/>
  <c r="I30"/>
  <c r="J30" s="1"/>
  <c r="AF29"/>
  <c r="AG29" s="1"/>
  <c r="I29"/>
  <c r="J29" s="1"/>
  <c r="F29"/>
  <c r="G29" s="1"/>
  <c r="AF28"/>
  <c r="AG28" s="1"/>
  <c r="I28"/>
  <c r="J28" s="1"/>
  <c r="AF27"/>
  <c r="AG27" s="1"/>
  <c r="I27"/>
  <c r="J27" s="1"/>
  <c r="F27"/>
  <c r="G27" s="1"/>
  <c r="AF26"/>
  <c r="AG26" s="1"/>
  <c r="I26"/>
  <c r="J26" s="1"/>
  <c r="AF25"/>
  <c r="AG25" s="1"/>
  <c r="I25"/>
  <c r="J25" s="1"/>
  <c r="F25"/>
  <c r="G25" s="1"/>
  <c r="AF24"/>
  <c r="AG24" s="1"/>
  <c r="I24"/>
  <c r="J24" s="1"/>
  <c r="AF23"/>
  <c r="AG23" s="1"/>
  <c r="I23"/>
  <c r="J23" s="1"/>
  <c r="AF22"/>
  <c r="AG22" s="1"/>
  <c r="I22"/>
  <c r="J22" s="1"/>
  <c r="AF21"/>
  <c r="AG21" s="1"/>
  <c r="I21"/>
  <c r="J21" s="1"/>
  <c r="AF20"/>
  <c r="AG20" s="1"/>
  <c r="I20"/>
  <c r="J20" s="1"/>
  <c r="AF19"/>
  <c r="AG19" s="1"/>
  <c r="I19"/>
  <c r="J19" s="1"/>
  <c r="AF18"/>
  <c r="AG18" s="1"/>
  <c r="I18"/>
  <c r="J18" s="1"/>
  <c r="AF17"/>
  <c r="AG17" s="1"/>
  <c r="I17"/>
  <c r="J17" s="1"/>
  <c r="AF16"/>
  <c r="AG16" s="1"/>
  <c r="I16"/>
  <c r="J16" s="1"/>
  <c r="AF15"/>
  <c r="AG15" s="1"/>
  <c r="I15"/>
  <c r="J15" s="1"/>
  <c r="AF14"/>
  <c r="AG14" s="1"/>
  <c r="I14"/>
  <c r="J14" s="1"/>
  <c r="AF13"/>
  <c r="AG13" s="1"/>
  <c r="I13"/>
  <c r="J13" s="1"/>
  <c r="AF12"/>
  <c r="AG12" s="1"/>
  <c r="I12"/>
  <c r="J12" s="1"/>
  <c r="AF11"/>
  <c r="AG11" s="1"/>
  <c r="I11"/>
  <c r="J11" s="1"/>
  <c r="AF10"/>
  <c r="AG10" s="1"/>
  <c r="I10"/>
  <c r="J10" s="1"/>
  <c r="AF9"/>
  <c r="AG9" s="1"/>
  <c r="I9"/>
  <c r="J9" s="1"/>
  <c r="AF8"/>
  <c r="AG8" s="1"/>
  <c r="I8"/>
  <c r="J8" s="1"/>
  <c r="M6" i="36"/>
  <c r="K6" s="1"/>
  <c r="E59"/>
  <c r="F59" s="1"/>
  <c r="B59"/>
  <c r="C58" s="1"/>
  <c r="C20" i="35"/>
  <c r="O18"/>
  <c r="O20" s="1"/>
  <c r="N18"/>
  <c r="N20" s="1"/>
  <c r="M18"/>
  <c r="M20" s="1"/>
  <c r="AJ59" i="1"/>
  <c r="AK58"/>
  <c r="AL58" s="1"/>
  <c r="AK57"/>
  <c r="AL57" s="1"/>
  <c r="AK56"/>
  <c r="AL56" s="1"/>
  <c r="AK55"/>
  <c r="AL55" s="1"/>
  <c r="AK54"/>
  <c r="AL54" s="1"/>
  <c r="AK53"/>
  <c r="AL53" s="1"/>
  <c r="AK52"/>
  <c r="AL52" s="1"/>
  <c r="AK51"/>
  <c r="AL51" s="1"/>
  <c r="AK50"/>
  <c r="AL50" s="1"/>
  <c r="AK49"/>
  <c r="AL49" s="1"/>
  <c r="AK48"/>
  <c r="AL48" s="1"/>
  <c r="AK47"/>
  <c r="AL47" s="1"/>
  <c r="AK46"/>
  <c r="AL46" s="1"/>
  <c r="AK45"/>
  <c r="AL45" s="1"/>
  <c r="AK44"/>
  <c r="AL44" s="1"/>
  <c r="AK43"/>
  <c r="AL43" s="1"/>
  <c r="AK42"/>
  <c r="AL42" s="1"/>
  <c r="AK41"/>
  <c r="AL41" s="1"/>
  <c r="AK40"/>
  <c r="AL40" s="1"/>
  <c r="AK39"/>
  <c r="AL39" s="1"/>
  <c r="AK38"/>
  <c r="AL38" s="1"/>
  <c r="AK37"/>
  <c r="AL37" s="1"/>
  <c r="AK36"/>
  <c r="AL36" s="1"/>
  <c r="AK35"/>
  <c r="AL35" s="1"/>
  <c r="AK34"/>
  <c r="AL34" s="1"/>
  <c r="AK33"/>
  <c r="AL33" s="1"/>
  <c r="AK32"/>
  <c r="AL32" s="1"/>
  <c r="AK31"/>
  <c r="AL31" s="1"/>
  <c r="AK30"/>
  <c r="AL30" s="1"/>
  <c r="AK29"/>
  <c r="AL29" s="1"/>
  <c r="AK28"/>
  <c r="AL28" s="1"/>
  <c r="AK27"/>
  <c r="AL27" s="1"/>
  <c r="AK26"/>
  <c r="AL26" s="1"/>
  <c r="AK25"/>
  <c r="AL25" s="1"/>
  <c r="AK24"/>
  <c r="AL24" s="1"/>
  <c r="AK23"/>
  <c r="AL23" s="1"/>
  <c r="AK22"/>
  <c r="AL22" s="1"/>
  <c r="AK21"/>
  <c r="AL21" s="1"/>
  <c r="AK20"/>
  <c r="AL20" s="1"/>
  <c r="AK19"/>
  <c r="AL19" s="1"/>
  <c r="AK18"/>
  <c r="AL18" s="1"/>
  <c r="AK17"/>
  <c r="AL17" s="1"/>
  <c r="AK16"/>
  <c r="AL16" s="1"/>
  <c r="AK15"/>
  <c r="AL15" s="1"/>
  <c r="AK14"/>
  <c r="AL14" s="1"/>
  <c r="AK13"/>
  <c r="AL13" s="1"/>
  <c r="AK12"/>
  <c r="AL12" s="1"/>
  <c r="AK11"/>
  <c r="AL11" s="1"/>
  <c r="AK10"/>
  <c r="AL10" s="1"/>
  <c r="AK9"/>
  <c r="AL9" s="1"/>
  <c r="AI59"/>
  <c r="AA59"/>
  <c r="R59"/>
  <c r="AC58"/>
  <c r="AD58" s="1"/>
  <c r="AB58"/>
  <c r="AC57"/>
  <c r="AD57" s="1"/>
  <c r="AB57"/>
  <c r="AC56"/>
  <c r="AD56" s="1"/>
  <c r="AB56"/>
  <c r="AC55"/>
  <c r="AD55" s="1"/>
  <c r="AB55"/>
  <c r="AC54"/>
  <c r="AD54" s="1"/>
  <c r="AB54"/>
  <c r="AC53"/>
  <c r="AD53" s="1"/>
  <c r="AB53"/>
  <c r="AC52"/>
  <c r="AD52" s="1"/>
  <c r="AB52"/>
  <c r="AC51"/>
  <c r="AD51" s="1"/>
  <c r="AB51"/>
  <c r="AC50"/>
  <c r="AD50" s="1"/>
  <c r="AB50"/>
  <c r="AC49"/>
  <c r="AD49" s="1"/>
  <c r="AB49"/>
  <c r="AC48"/>
  <c r="AD48" s="1"/>
  <c r="AB48"/>
  <c r="AC47"/>
  <c r="AD47" s="1"/>
  <c r="AB47"/>
  <c r="AC46"/>
  <c r="AD46" s="1"/>
  <c r="AB46"/>
  <c r="AC45"/>
  <c r="AD45" s="1"/>
  <c r="AB45"/>
  <c r="AC44"/>
  <c r="AD44" s="1"/>
  <c r="AB44"/>
  <c r="AC43"/>
  <c r="AD43" s="1"/>
  <c r="AB43"/>
  <c r="AC42"/>
  <c r="AD42" s="1"/>
  <c r="AB42"/>
  <c r="AC41"/>
  <c r="AD41" s="1"/>
  <c r="AB41"/>
  <c r="AC40"/>
  <c r="AD40" s="1"/>
  <c r="AB40"/>
  <c r="AC39"/>
  <c r="AD39" s="1"/>
  <c r="AB39"/>
  <c r="AC38"/>
  <c r="AD38" s="1"/>
  <c r="AB38"/>
  <c r="AC37"/>
  <c r="AD37" s="1"/>
  <c r="AB37"/>
  <c r="AC36"/>
  <c r="AD36" s="1"/>
  <c r="AB36"/>
  <c r="AC35"/>
  <c r="AD35" s="1"/>
  <c r="AB35"/>
  <c r="AC34"/>
  <c r="AD34" s="1"/>
  <c r="AB34"/>
  <c r="AC33"/>
  <c r="AD33" s="1"/>
  <c r="AB33"/>
  <c r="AC32"/>
  <c r="AD32" s="1"/>
  <c r="AB32"/>
  <c r="AC31"/>
  <c r="AD31" s="1"/>
  <c r="AB31"/>
  <c r="AC30"/>
  <c r="AD30" s="1"/>
  <c r="AB30"/>
  <c r="AC29"/>
  <c r="AD29" s="1"/>
  <c r="AB29"/>
  <c r="AC28"/>
  <c r="AD28" s="1"/>
  <c r="AB28"/>
  <c r="AC27"/>
  <c r="AD27" s="1"/>
  <c r="AB27"/>
  <c r="AC26"/>
  <c r="AD26" s="1"/>
  <c r="AB26"/>
  <c r="AC25"/>
  <c r="AD25" s="1"/>
  <c r="AB25"/>
  <c r="AC24"/>
  <c r="AD24" s="1"/>
  <c r="AB24"/>
  <c r="AC23"/>
  <c r="AD23" s="1"/>
  <c r="AB23"/>
  <c r="AC22"/>
  <c r="AD22" s="1"/>
  <c r="AB22"/>
  <c r="AC21"/>
  <c r="AD21" s="1"/>
  <c r="AB21"/>
  <c r="AC20"/>
  <c r="AD20" s="1"/>
  <c r="AB20"/>
  <c r="AC19"/>
  <c r="AD19" s="1"/>
  <c r="AB19"/>
  <c r="AC18"/>
  <c r="AD18" s="1"/>
  <c r="AB18"/>
  <c r="AC17"/>
  <c r="AD17" s="1"/>
  <c r="AB17"/>
  <c r="AC16"/>
  <c r="AD16" s="1"/>
  <c r="AB16"/>
  <c r="AD15"/>
  <c r="AC15"/>
  <c r="AB15"/>
  <c r="AC14"/>
  <c r="AD14" s="1"/>
  <c r="AB14"/>
  <c r="AC13"/>
  <c r="AD13" s="1"/>
  <c r="AB13"/>
  <c r="AC12"/>
  <c r="AD12" s="1"/>
  <c r="AB12"/>
  <c r="AC11"/>
  <c r="AD11" s="1"/>
  <c r="AB11"/>
  <c r="AC10"/>
  <c r="AD10" s="1"/>
  <c r="AB10"/>
  <c r="AC9"/>
  <c r="AD9" s="1"/>
  <c r="AB9"/>
  <c r="AC8"/>
  <c r="AD8" s="1"/>
  <c r="AB8"/>
  <c r="K16" i="35"/>
  <c r="K20" s="1"/>
  <c r="J16"/>
  <c r="J20" s="1"/>
  <c r="I16"/>
  <c r="I20" s="1"/>
  <c r="G14"/>
  <c r="F14"/>
  <c r="E14"/>
  <c r="G12"/>
  <c r="F12"/>
  <c r="E12"/>
  <c r="G10"/>
  <c r="F10"/>
  <c r="E10"/>
  <c r="G8"/>
  <c r="F8"/>
  <c r="E8"/>
  <c r="G6"/>
  <c r="F6"/>
  <c r="E6"/>
  <c r="F17" i="36" l="1"/>
  <c r="C12"/>
  <c r="F8"/>
  <c r="F33"/>
  <c r="F12"/>
  <c r="F25"/>
  <c r="F41"/>
  <c r="F10"/>
  <c r="F14"/>
  <c r="K14" s="1"/>
  <c r="F21"/>
  <c r="F29"/>
  <c r="F37"/>
  <c r="F45"/>
  <c r="AE59" i="37"/>
  <c r="I49"/>
  <c r="J49" s="1"/>
  <c r="I50"/>
  <c r="J50" s="1"/>
  <c r="I53"/>
  <c r="J53" s="1"/>
  <c r="I54"/>
  <c r="J54" s="1"/>
  <c r="I55"/>
  <c r="J55" s="1"/>
  <c r="I56"/>
  <c r="J56" s="1"/>
  <c r="C23" i="36"/>
  <c r="C8"/>
  <c r="C16"/>
  <c r="C31"/>
  <c r="F9"/>
  <c r="F11"/>
  <c r="F13"/>
  <c r="F15"/>
  <c r="F19"/>
  <c r="K19" s="1"/>
  <c r="F23"/>
  <c r="F27"/>
  <c r="K27" s="1"/>
  <c r="F31"/>
  <c r="F35"/>
  <c r="K35" s="1"/>
  <c r="F39"/>
  <c r="F43"/>
  <c r="K43" s="1"/>
  <c r="F47"/>
  <c r="C10"/>
  <c r="C14"/>
  <c r="C19"/>
  <c r="C27"/>
  <c r="C38"/>
  <c r="C9"/>
  <c r="C11"/>
  <c r="C13"/>
  <c r="C15"/>
  <c r="C17"/>
  <c r="C21"/>
  <c r="C25"/>
  <c r="C29"/>
  <c r="C34"/>
  <c r="C45"/>
  <c r="C18"/>
  <c r="C20"/>
  <c r="C22"/>
  <c r="C24"/>
  <c r="C26"/>
  <c r="C28"/>
  <c r="C30"/>
  <c r="C32"/>
  <c r="C36"/>
  <c r="C41"/>
  <c r="C51"/>
  <c r="F55" i="37"/>
  <c r="G55" s="1"/>
  <c r="F57"/>
  <c r="G57" s="1"/>
  <c r="F20" i="35"/>
  <c r="AL6" i="37"/>
  <c r="AD59" i="1"/>
  <c r="AE9" s="1"/>
  <c r="AF9" s="1"/>
  <c r="AG9" s="1"/>
  <c r="E20" i="35"/>
  <c r="G20"/>
  <c r="C33" i="36"/>
  <c r="C35"/>
  <c r="C37"/>
  <c r="C39"/>
  <c r="C43"/>
  <c r="C47"/>
  <c r="C55"/>
  <c r="F51"/>
  <c r="K51" s="1"/>
  <c r="C11" i="37"/>
  <c r="AL11" s="1"/>
  <c r="C27"/>
  <c r="J6" i="36"/>
  <c r="L6"/>
  <c r="C40"/>
  <c r="C42"/>
  <c r="C44"/>
  <c r="C46"/>
  <c r="C49"/>
  <c r="C53"/>
  <c r="C57"/>
  <c r="F49"/>
  <c r="F53"/>
  <c r="K53" s="1"/>
  <c r="C43" i="37"/>
  <c r="C19"/>
  <c r="AL19" s="1"/>
  <c r="C35"/>
  <c r="C51"/>
  <c r="AL51" s="1"/>
  <c r="AM6"/>
  <c r="C15"/>
  <c r="AL15" s="1"/>
  <c r="C23"/>
  <c r="C31"/>
  <c r="AL31" s="1"/>
  <c r="C39"/>
  <c r="C47"/>
  <c r="AL47" s="1"/>
  <c r="C55"/>
  <c r="AE11" i="1"/>
  <c r="AF11" s="1"/>
  <c r="AG11" s="1"/>
  <c r="AB59"/>
  <c r="AK8"/>
  <c r="AL8" s="1"/>
  <c r="AL59" s="1"/>
  <c r="K29" i="37"/>
  <c r="K33"/>
  <c r="K37"/>
  <c r="K41"/>
  <c r="K45"/>
  <c r="K49"/>
  <c r="K53"/>
  <c r="I57"/>
  <c r="J57" s="1"/>
  <c r="K57" s="1"/>
  <c r="I58"/>
  <c r="J58" s="1"/>
  <c r="K58" s="1"/>
  <c r="C9"/>
  <c r="C13"/>
  <c r="C17"/>
  <c r="C21"/>
  <c r="C25"/>
  <c r="C29"/>
  <c r="C33"/>
  <c r="C37"/>
  <c r="C41"/>
  <c r="C45"/>
  <c r="C49"/>
  <c r="C53"/>
  <c r="C57"/>
  <c r="K31"/>
  <c r="AM31" s="1"/>
  <c r="K35"/>
  <c r="K39"/>
  <c r="AM39" s="1"/>
  <c r="K43"/>
  <c r="K47"/>
  <c r="AM47" s="1"/>
  <c r="K51"/>
  <c r="K55"/>
  <c r="AM55" s="1"/>
  <c r="F8"/>
  <c r="G8" s="1"/>
  <c r="F9"/>
  <c r="G9" s="1"/>
  <c r="K9" s="1"/>
  <c r="AM9" s="1"/>
  <c r="F10"/>
  <c r="G10" s="1"/>
  <c r="K10" s="1"/>
  <c r="F11"/>
  <c r="G11" s="1"/>
  <c r="K11" s="1"/>
  <c r="AM11" s="1"/>
  <c r="F12"/>
  <c r="G12" s="1"/>
  <c r="K12" s="1"/>
  <c r="F13"/>
  <c r="G13" s="1"/>
  <c r="K13" s="1"/>
  <c r="AM13" s="1"/>
  <c r="F14"/>
  <c r="G14" s="1"/>
  <c r="K14" s="1"/>
  <c r="F15"/>
  <c r="G15" s="1"/>
  <c r="K15" s="1"/>
  <c r="AM15" s="1"/>
  <c r="F16"/>
  <c r="G16" s="1"/>
  <c r="K16" s="1"/>
  <c r="F17"/>
  <c r="G17" s="1"/>
  <c r="K17" s="1"/>
  <c r="AM17" s="1"/>
  <c r="F18"/>
  <c r="G18" s="1"/>
  <c r="K18" s="1"/>
  <c r="F19"/>
  <c r="G19" s="1"/>
  <c r="K19" s="1"/>
  <c r="AM19" s="1"/>
  <c r="F20"/>
  <c r="G20" s="1"/>
  <c r="K20" s="1"/>
  <c r="F21"/>
  <c r="G21" s="1"/>
  <c r="K21" s="1"/>
  <c r="AM21" s="1"/>
  <c r="F22"/>
  <c r="G22" s="1"/>
  <c r="K22" s="1"/>
  <c r="F23"/>
  <c r="G23" s="1"/>
  <c r="K23" s="1"/>
  <c r="AM23" s="1"/>
  <c r="F24"/>
  <c r="G24" s="1"/>
  <c r="F26"/>
  <c r="G26" s="1"/>
  <c r="F28"/>
  <c r="G28" s="1"/>
  <c r="F30"/>
  <c r="G30" s="1"/>
  <c r="K30" s="1"/>
  <c r="AM30" s="1"/>
  <c r="F32"/>
  <c r="G32" s="1"/>
  <c r="K32" s="1"/>
  <c r="F34"/>
  <c r="G34" s="1"/>
  <c r="K34" s="1"/>
  <c r="AM34" s="1"/>
  <c r="F36"/>
  <c r="G36" s="1"/>
  <c r="K36" s="1"/>
  <c r="F38"/>
  <c r="G38" s="1"/>
  <c r="K38" s="1"/>
  <c r="AM38" s="1"/>
  <c r="F40"/>
  <c r="G40" s="1"/>
  <c r="K40" s="1"/>
  <c r="F42"/>
  <c r="G42" s="1"/>
  <c r="K42" s="1"/>
  <c r="AM42" s="1"/>
  <c r="F44"/>
  <c r="G44" s="1"/>
  <c r="K44" s="1"/>
  <c r="F46"/>
  <c r="G46" s="1"/>
  <c r="K46" s="1"/>
  <c r="AM46" s="1"/>
  <c r="F48"/>
  <c r="G48" s="1"/>
  <c r="K48" s="1"/>
  <c r="F50"/>
  <c r="G50" s="1"/>
  <c r="K50" s="1"/>
  <c r="AM50" s="1"/>
  <c r="F52"/>
  <c r="G52" s="1"/>
  <c r="K52" s="1"/>
  <c r="F54"/>
  <c r="G54" s="1"/>
  <c r="K54" s="1"/>
  <c r="AM54" s="1"/>
  <c r="F56"/>
  <c r="G56" s="1"/>
  <c r="K56" s="1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AG59"/>
  <c r="AH8" s="1"/>
  <c r="J59"/>
  <c r="AH16"/>
  <c r="AI16" s="1"/>
  <c r="AJ16" s="1"/>
  <c r="AN16" s="1"/>
  <c r="K25"/>
  <c r="K27"/>
  <c r="AM27" s="1"/>
  <c r="AH47"/>
  <c r="AI47" s="1"/>
  <c r="AJ47" s="1"/>
  <c r="AN47" s="1"/>
  <c r="AH55"/>
  <c r="AI55" s="1"/>
  <c r="AJ55" s="1"/>
  <c r="AN55" s="1"/>
  <c r="K24"/>
  <c r="K26"/>
  <c r="AM26" s="1"/>
  <c r="K28"/>
  <c r="K8" i="36"/>
  <c r="K10"/>
  <c r="K12"/>
  <c r="K9"/>
  <c r="K11"/>
  <c r="K13"/>
  <c r="K15"/>
  <c r="K17"/>
  <c r="K21"/>
  <c r="K23"/>
  <c r="K25"/>
  <c r="K29"/>
  <c r="K31"/>
  <c r="K33"/>
  <c r="K37"/>
  <c r="K39"/>
  <c r="K41"/>
  <c r="K45"/>
  <c r="K47"/>
  <c r="K49"/>
  <c r="C48"/>
  <c r="C50"/>
  <c r="C52"/>
  <c r="C54"/>
  <c r="C56"/>
  <c r="F55"/>
  <c r="K55" s="1"/>
  <c r="F57"/>
  <c r="K57" s="1"/>
  <c r="F16"/>
  <c r="K16" s="1"/>
  <c r="F18"/>
  <c r="K18" s="1"/>
  <c r="F20"/>
  <c r="K20" s="1"/>
  <c r="F22"/>
  <c r="K22" s="1"/>
  <c r="F24"/>
  <c r="K24" s="1"/>
  <c r="F26"/>
  <c r="K26" s="1"/>
  <c r="F28"/>
  <c r="K28" s="1"/>
  <c r="F30"/>
  <c r="K30" s="1"/>
  <c r="F32"/>
  <c r="K32" s="1"/>
  <c r="F34"/>
  <c r="K34" s="1"/>
  <c r="F36"/>
  <c r="K36" s="1"/>
  <c r="F38"/>
  <c r="K38" s="1"/>
  <c r="F40"/>
  <c r="K40" s="1"/>
  <c r="F42"/>
  <c r="K42" s="1"/>
  <c r="F44"/>
  <c r="K44" s="1"/>
  <c r="F46"/>
  <c r="K46" s="1"/>
  <c r="F48"/>
  <c r="K48" s="1"/>
  <c r="F50"/>
  <c r="K50" s="1"/>
  <c r="F52"/>
  <c r="K52" s="1"/>
  <c r="F54"/>
  <c r="K54" s="1"/>
  <c r="F56"/>
  <c r="K56" s="1"/>
  <c r="F58"/>
  <c r="K58" s="1"/>
  <c r="AE10" i="1"/>
  <c r="AF10" s="1"/>
  <c r="AG10" s="1"/>
  <c r="AE14"/>
  <c r="AF14" s="1"/>
  <c r="AG14" s="1"/>
  <c r="AE18"/>
  <c r="AF18" s="1"/>
  <c r="AG18" s="1"/>
  <c r="AE22"/>
  <c r="AF22" s="1"/>
  <c r="AG22" s="1"/>
  <c r="AE26"/>
  <c r="AF26" s="1"/>
  <c r="AG26" s="1"/>
  <c r="AE30"/>
  <c r="AF30" s="1"/>
  <c r="AG30" s="1"/>
  <c r="AE34"/>
  <c r="AF34" s="1"/>
  <c r="AG34" s="1"/>
  <c r="AE38"/>
  <c r="AF38" s="1"/>
  <c r="AG38" s="1"/>
  <c r="AE42"/>
  <c r="AF42" s="1"/>
  <c r="AG42" s="1"/>
  <c r="AE46"/>
  <c r="AF46" s="1"/>
  <c r="AG46" s="1"/>
  <c r="AE50"/>
  <c r="AF50" s="1"/>
  <c r="AG50" s="1"/>
  <c r="AE54"/>
  <c r="AF54" s="1"/>
  <c r="AG54" s="1"/>
  <c r="AE58"/>
  <c r="AF58" s="1"/>
  <c r="AG58" s="1"/>
  <c r="AE39"/>
  <c r="AF39" s="1"/>
  <c r="AG39" s="1"/>
  <c r="AE43"/>
  <c r="AF43" s="1"/>
  <c r="AG43" s="1"/>
  <c r="AE47"/>
  <c r="AF47" s="1"/>
  <c r="AG47" s="1"/>
  <c r="AE51"/>
  <c r="AF51" s="1"/>
  <c r="AG51" s="1"/>
  <c r="AE55"/>
  <c r="AF55" s="1"/>
  <c r="AG55" s="1"/>
  <c r="AE8"/>
  <c r="C59" i="36" l="1"/>
  <c r="AE27" i="1"/>
  <c r="AF27" s="1"/>
  <c r="AG27" s="1"/>
  <c r="AE29"/>
  <c r="AF29" s="1"/>
  <c r="AG29" s="1"/>
  <c r="AE19"/>
  <c r="AF19" s="1"/>
  <c r="AG19" s="1"/>
  <c r="AE33"/>
  <c r="AF33" s="1"/>
  <c r="AG33" s="1"/>
  <c r="AE23"/>
  <c r="AF23" s="1"/>
  <c r="AG23" s="1"/>
  <c r="AE13"/>
  <c r="AF13" s="1"/>
  <c r="AG13" s="1"/>
  <c r="AM28" i="37"/>
  <c r="AM24"/>
  <c r="AM25"/>
  <c r="AM56"/>
  <c r="AM52"/>
  <c r="AM48"/>
  <c r="AM44"/>
  <c r="AM40"/>
  <c r="AM36"/>
  <c r="AM32"/>
  <c r="AM22"/>
  <c r="AM20"/>
  <c r="AM18"/>
  <c r="AM16"/>
  <c r="AM14"/>
  <c r="AM12"/>
  <c r="AM10"/>
  <c r="AM51"/>
  <c r="AM43"/>
  <c r="AM35"/>
  <c r="AM57"/>
  <c r="AH51"/>
  <c r="AI51" s="1"/>
  <c r="AJ51" s="1"/>
  <c r="AN51" s="1"/>
  <c r="AH39"/>
  <c r="AI39" s="1"/>
  <c r="AJ39" s="1"/>
  <c r="AN39" s="1"/>
  <c r="AH57"/>
  <c r="AI57" s="1"/>
  <c r="AJ57" s="1"/>
  <c r="AN57" s="1"/>
  <c r="AH53"/>
  <c r="AI53" s="1"/>
  <c r="AJ53" s="1"/>
  <c r="AN53" s="1"/>
  <c r="AH49"/>
  <c r="AI49" s="1"/>
  <c r="AJ49" s="1"/>
  <c r="AN49" s="1"/>
  <c r="AH43"/>
  <c r="AI43" s="1"/>
  <c r="AJ43" s="1"/>
  <c r="AN43" s="1"/>
  <c r="AH32"/>
  <c r="AI32" s="1"/>
  <c r="AJ32" s="1"/>
  <c r="AN32" s="1"/>
  <c r="AM49"/>
  <c r="AM41"/>
  <c r="AM33"/>
  <c r="AH45"/>
  <c r="AI45" s="1"/>
  <c r="AJ45" s="1"/>
  <c r="AN45" s="1"/>
  <c r="AH41"/>
  <c r="AI41" s="1"/>
  <c r="AJ41" s="1"/>
  <c r="AN41" s="1"/>
  <c r="AH36"/>
  <c r="AI36" s="1"/>
  <c r="AJ36" s="1"/>
  <c r="AN36" s="1"/>
  <c r="AH28"/>
  <c r="AI28" s="1"/>
  <c r="AJ28" s="1"/>
  <c r="AN28" s="1"/>
  <c r="AH26"/>
  <c r="AI26" s="1"/>
  <c r="AJ26" s="1"/>
  <c r="AN26" s="1"/>
  <c r="AH24"/>
  <c r="AI24" s="1"/>
  <c r="AJ24" s="1"/>
  <c r="AN24" s="1"/>
  <c r="AH27"/>
  <c r="AI27" s="1"/>
  <c r="AJ27" s="1"/>
  <c r="AN27" s="1"/>
  <c r="AH25"/>
  <c r="AI25" s="1"/>
  <c r="AJ25" s="1"/>
  <c r="AN25" s="1"/>
  <c r="AH58"/>
  <c r="AI58" s="1"/>
  <c r="AJ58" s="1"/>
  <c r="AN58" s="1"/>
  <c r="AH56"/>
  <c r="AI56" s="1"/>
  <c r="AJ56" s="1"/>
  <c r="AN56" s="1"/>
  <c r="AH54"/>
  <c r="AI54" s="1"/>
  <c r="AJ54" s="1"/>
  <c r="AN54" s="1"/>
  <c r="AH52"/>
  <c r="AI52" s="1"/>
  <c r="AJ52" s="1"/>
  <c r="AN52" s="1"/>
  <c r="AH50"/>
  <c r="AI50" s="1"/>
  <c r="AJ50" s="1"/>
  <c r="AN50" s="1"/>
  <c r="AH48"/>
  <c r="AI48" s="1"/>
  <c r="AJ48" s="1"/>
  <c r="AN48" s="1"/>
  <c r="AH46"/>
  <c r="AI46" s="1"/>
  <c r="AJ46" s="1"/>
  <c r="AN46" s="1"/>
  <c r="AH44"/>
  <c r="AI44" s="1"/>
  <c r="AJ44" s="1"/>
  <c r="AN44" s="1"/>
  <c r="AH42"/>
  <c r="AI42" s="1"/>
  <c r="AJ42" s="1"/>
  <c r="AN42" s="1"/>
  <c r="AH40"/>
  <c r="AI40" s="1"/>
  <c r="AJ40" s="1"/>
  <c r="AN40" s="1"/>
  <c r="AH38"/>
  <c r="AI38" s="1"/>
  <c r="AJ38" s="1"/>
  <c r="AN38" s="1"/>
  <c r="AH34"/>
  <c r="AI34" s="1"/>
  <c r="AJ34" s="1"/>
  <c r="AN34" s="1"/>
  <c r="AH30"/>
  <c r="AI30" s="1"/>
  <c r="AJ30" s="1"/>
  <c r="AN30" s="1"/>
  <c r="AH23"/>
  <c r="AI23" s="1"/>
  <c r="AJ23" s="1"/>
  <c r="AN23" s="1"/>
  <c r="AL53"/>
  <c r="AL45"/>
  <c r="AL37"/>
  <c r="AL29"/>
  <c r="AL21"/>
  <c r="AL13"/>
  <c r="AL55"/>
  <c r="AO55" s="1"/>
  <c r="AL39"/>
  <c r="AO39" s="1"/>
  <c r="AL23"/>
  <c r="AM8" i="1"/>
  <c r="AM17"/>
  <c r="AM25"/>
  <c r="AM32"/>
  <c r="AM38"/>
  <c r="AM41"/>
  <c r="AM45"/>
  <c r="AM49"/>
  <c r="AM54"/>
  <c r="AM9"/>
  <c r="AM13"/>
  <c r="AM18"/>
  <c r="AM22"/>
  <c r="AM26"/>
  <c r="AM31"/>
  <c r="AM35"/>
  <c r="AM39"/>
  <c r="AM44"/>
  <c r="AM48"/>
  <c r="AM52"/>
  <c r="AM55"/>
  <c r="AM58"/>
  <c r="AM21"/>
  <c r="AM29"/>
  <c r="AM43"/>
  <c r="AM51"/>
  <c r="AM57"/>
  <c r="AM16"/>
  <c r="AM24"/>
  <c r="AM33"/>
  <c r="AM42"/>
  <c r="AM50"/>
  <c r="AM56"/>
  <c r="AM14"/>
  <c r="AM36"/>
  <c r="AM40"/>
  <c r="AM47"/>
  <c r="AM11"/>
  <c r="AM20"/>
  <c r="AM28"/>
  <c r="AM37"/>
  <c r="AM46"/>
  <c r="AM53"/>
  <c r="AE57"/>
  <c r="AF57" s="1"/>
  <c r="AG57" s="1"/>
  <c r="AE53"/>
  <c r="AF53" s="1"/>
  <c r="AG53" s="1"/>
  <c r="AE49"/>
  <c r="AF49" s="1"/>
  <c r="AG49" s="1"/>
  <c r="AE45"/>
  <c r="AF45" s="1"/>
  <c r="AG45" s="1"/>
  <c r="AE41"/>
  <c r="AF41" s="1"/>
  <c r="AG41" s="1"/>
  <c r="AE37"/>
  <c r="AF37" s="1"/>
  <c r="AG37" s="1"/>
  <c r="AE56"/>
  <c r="AF56" s="1"/>
  <c r="AG56" s="1"/>
  <c r="AE52"/>
  <c r="AF52" s="1"/>
  <c r="AG52" s="1"/>
  <c r="AE48"/>
  <c r="AF48" s="1"/>
  <c r="AG48" s="1"/>
  <c r="AE44"/>
  <c r="AF44" s="1"/>
  <c r="AG44" s="1"/>
  <c r="AE40"/>
  <c r="AF40" s="1"/>
  <c r="AG40" s="1"/>
  <c r="AE36"/>
  <c r="AF36" s="1"/>
  <c r="AG36" s="1"/>
  <c r="AE32"/>
  <c r="AF32" s="1"/>
  <c r="AG32" s="1"/>
  <c r="AE28"/>
  <c r="AF28" s="1"/>
  <c r="AG28" s="1"/>
  <c r="AE24"/>
  <c r="AF24" s="1"/>
  <c r="AG24" s="1"/>
  <c r="AE20"/>
  <c r="AF20" s="1"/>
  <c r="AG20" s="1"/>
  <c r="AE16"/>
  <c r="AF16" s="1"/>
  <c r="AG16" s="1"/>
  <c r="AE12"/>
  <c r="AF12" s="1"/>
  <c r="AG12" s="1"/>
  <c r="AE21"/>
  <c r="AF21" s="1"/>
  <c r="AG21" s="1"/>
  <c r="AE15"/>
  <c r="AF15" s="1"/>
  <c r="AG15" s="1"/>
  <c r="AE35"/>
  <c r="AF35" s="1"/>
  <c r="AG35" s="1"/>
  <c r="AE31"/>
  <c r="AF31" s="1"/>
  <c r="AG31" s="1"/>
  <c r="AE25"/>
  <c r="AF25" s="1"/>
  <c r="AG25" s="1"/>
  <c r="AE17"/>
  <c r="AF17" s="1"/>
  <c r="AG17" s="1"/>
  <c r="AL35" i="37"/>
  <c r="AL43"/>
  <c r="AL27"/>
  <c r="AO27" s="1"/>
  <c r="AR6" i="1"/>
  <c r="AM58" i="37"/>
  <c r="AM34" i="1"/>
  <c r="AM30"/>
  <c r="AM27"/>
  <c r="AM23"/>
  <c r="AM19"/>
  <c r="AM15"/>
  <c r="AM10"/>
  <c r="G59" i="37"/>
  <c r="AH20"/>
  <c r="AI20" s="1"/>
  <c r="AJ20" s="1"/>
  <c r="AN20" s="1"/>
  <c r="AH12"/>
  <c r="AI12" s="1"/>
  <c r="AJ12" s="1"/>
  <c r="AN12" s="1"/>
  <c r="AH11"/>
  <c r="AI11" s="1"/>
  <c r="AJ11" s="1"/>
  <c r="AN11" s="1"/>
  <c r="AO11" s="1"/>
  <c r="AM53"/>
  <c r="AM45"/>
  <c r="AM37"/>
  <c r="AM29"/>
  <c r="AL58"/>
  <c r="AL54"/>
  <c r="AL50"/>
  <c r="AL46"/>
  <c r="AL42"/>
  <c r="AL38"/>
  <c r="AL34"/>
  <c r="AL30"/>
  <c r="AL26"/>
  <c r="AO26" s="1"/>
  <c r="AL22"/>
  <c r="AL18"/>
  <c r="AL14"/>
  <c r="AL10"/>
  <c r="AL57"/>
  <c r="AL49"/>
  <c r="AL41"/>
  <c r="AL33"/>
  <c r="AL25"/>
  <c r="AO25" s="1"/>
  <c r="AL17"/>
  <c r="AL9"/>
  <c r="AH37"/>
  <c r="AI37" s="1"/>
  <c r="AJ37" s="1"/>
  <c r="AN37" s="1"/>
  <c r="AH35"/>
  <c r="AI35" s="1"/>
  <c r="AJ35" s="1"/>
  <c r="AN35" s="1"/>
  <c r="AH33"/>
  <c r="AI33" s="1"/>
  <c r="AJ33" s="1"/>
  <c r="AN33" s="1"/>
  <c r="AH31"/>
  <c r="AI31" s="1"/>
  <c r="AJ31" s="1"/>
  <c r="AN31" s="1"/>
  <c r="AH29"/>
  <c r="AI29" s="1"/>
  <c r="AJ29" s="1"/>
  <c r="AN29" s="1"/>
  <c r="AH22"/>
  <c r="AI22" s="1"/>
  <c r="AJ22" s="1"/>
  <c r="AN22" s="1"/>
  <c r="AO22" s="1"/>
  <c r="AH18"/>
  <c r="AI18" s="1"/>
  <c r="AJ18" s="1"/>
  <c r="AN18" s="1"/>
  <c r="AH14"/>
  <c r="AI14" s="1"/>
  <c r="AJ14" s="1"/>
  <c r="AN14" s="1"/>
  <c r="AH9"/>
  <c r="AI9" s="1"/>
  <c r="AJ9" s="1"/>
  <c r="AN9" s="1"/>
  <c r="AO31"/>
  <c r="AO47"/>
  <c r="AL56"/>
  <c r="AL52"/>
  <c r="AL48"/>
  <c r="AL44"/>
  <c r="AL40"/>
  <c r="AL36"/>
  <c r="AL32"/>
  <c r="AL28"/>
  <c r="AL24"/>
  <c r="AL20"/>
  <c r="AL16"/>
  <c r="AL12"/>
  <c r="AO12" s="1"/>
  <c r="AL8"/>
  <c r="AM12" i="1"/>
  <c r="AH21" i="37"/>
  <c r="AI21" s="1"/>
  <c r="AJ21" s="1"/>
  <c r="AN21" s="1"/>
  <c r="AH19"/>
  <c r="AI19" s="1"/>
  <c r="AJ19" s="1"/>
  <c r="AN19" s="1"/>
  <c r="AO19" s="1"/>
  <c r="AH17"/>
  <c r="AI17" s="1"/>
  <c r="AJ17" s="1"/>
  <c r="AN17" s="1"/>
  <c r="AH15"/>
  <c r="AI15" s="1"/>
  <c r="AJ15" s="1"/>
  <c r="AN15" s="1"/>
  <c r="AH13"/>
  <c r="AI13" s="1"/>
  <c r="AJ13" s="1"/>
  <c r="AN13" s="1"/>
  <c r="AO13" s="1"/>
  <c r="AH10"/>
  <c r="AI10" s="1"/>
  <c r="AJ10" s="1"/>
  <c r="AN10" s="1"/>
  <c r="F59"/>
  <c r="AO15"/>
  <c r="AO43"/>
  <c r="K8"/>
  <c r="AM8" s="1"/>
  <c r="AI8"/>
  <c r="J58" i="36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J8"/>
  <c r="J57"/>
  <c r="J55"/>
  <c r="J53"/>
  <c r="J51"/>
  <c r="J49"/>
  <c r="J47"/>
  <c r="J45"/>
  <c r="J43"/>
  <c r="J41"/>
  <c r="J39"/>
  <c r="J37"/>
  <c r="J35"/>
  <c r="J33"/>
  <c r="J31"/>
  <c r="J29"/>
  <c r="J27"/>
  <c r="J25"/>
  <c r="J23"/>
  <c r="J21"/>
  <c r="J19"/>
  <c r="J17"/>
  <c r="J15"/>
  <c r="J13"/>
  <c r="J11"/>
  <c r="J9"/>
  <c r="AF8" i="1"/>
  <c r="AQ6" l="1"/>
  <c r="AP6"/>
  <c r="AO36" i="37"/>
  <c r="AO29"/>
  <c r="AO49"/>
  <c r="AO51"/>
  <c r="AO24"/>
  <c r="AO40"/>
  <c r="AM59" i="1"/>
  <c r="AO9" i="37"/>
  <c r="AO18"/>
  <c r="AO37"/>
  <c r="AO53"/>
  <c r="AO21"/>
  <c r="AO32"/>
  <c r="AO35"/>
  <c r="AO57"/>
  <c r="AO45"/>
  <c r="AO23"/>
  <c r="AO20"/>
  <c r="AO28"/>
  <c r="AE59" i="1"/>
  <c r="AO6"/>
  <c r="AO44" i="37"/>
  <c r="AO48"/>
  <c r="AO52"/>
  <c r="AO56"/>
  <c r="AO17"/>
  <c r="AO33"/>
  <c r="AO41"/>
  <c r="AO10"/>
  <c r="AO14"/>
  <c r="AO30"/>
  <c r="AO34"/>
  <c r="AO38"/>
  <c r="AO42"/>
  <c r="AO46"/>
  <c r="AO50"/>
  <c r="AO54"/>
  <c r="AO58"/>
  <c r="AH59"/>
  <c r="AO16"/>
  <c r="AI59"/>
  <c r="AJ8"/>
  <c r="AN8" s="1"/>
  <c r="AN59" s="1"/>
  <c r="K59"/>
  <c r="J59" i="36"/>
  <c r="AF59" i="1"/>
  <c r="AG8"/>
  <c r="AQ57" l="1"/>
  <c r="AQ55"/>
  <c r="AQ53"/>
  <c r="AQ51"/>
  <c r="AQ49"/>
  <c r="AQ47"/>
  <c r="AQ45"/>
  <c r="AQ43"/>
  <c r="AQ41"/>
  <c r="AQ39"/>
  <c r="AQ37"/>
  <c r="AQ35"/>
  <c r="AQ33"/>
  <c r="AQ31"/>
  <c r="AQ29"/>
  <c r="AQ27"/>
  <c r="AQ25"/>
  <c r="AQ23"/>
  <c r="AQ21"/>
  <c r="AQ19"/>
  <c r="AQ17"/>
  <c r="AQ15"/>
  <c r="AQ13"/>
  <c r="AQ11"/>
  <c r="AQ9"/>
  <c r="AQ58"/>
  <c r="AQ56"/>
  <c r="AQ54"/>
  <c r="AQ52"/>
  <c r="AQ50"/>
  <c r="AQ48"/>
  <c r="AQ46"/>
  <c r="AQ44"/>
  <c r="AQ42"/>
  <c r="AQ40"/>
  <c r="AQ38"/>
  <c r="AQ36"/>
  <c r="AQ34"/>
  <c r="AQ32"/>
  <c r="AQ30"/>
  <c r="AQ28"/>
  <c r="AQ26"/>
  <c r="AQ24"/>
  <c r="AQ22"/>
  <c r="AQ20"/>
  <c r="AQ18"/>
  <c r="AQ16"/>
  <c r="AQ14"/>
  <c r="AQ12"/>
  <c r="AQ10"/>
  <c r="AQ8"/>
  <c r="AP58"/>
  <c r="AP56"/>
  <c r="AP54"/>
  <c r="AP52"/>
  <c r="AP50"/>
  <c r="AP48"/>
  <c r="AP46"/>
  <c r="AP44"/>
  <c r="AP42"/>
  <c r="AP40"/>
  <c r="AP38"/>
  <c r="AP36"/>
  <c r="AP34"/>
  <c r="AP32"/>
  <c r="AP30"/>
  <c r="AP28"/>
  <c r="AP26"/>
  <c r="AP24"/>
  <c r="AP22"/>
  <c r="AP20"/>
  <c r="AP18"/>
  <c r="AP16"/>
  <c r="AP14"/>
  <c r="AP12"/>
  <c r="AP10"/>
  <c r="AP13"/>
  <c r="AP9"/>
  <c r="AP57"/>
  <c r="AP55"/>
  <c r="AP53"/>
  <c r="AP51"/>
  <c r="AP49"/>
  <c r="AP47"/>
  <c r="AP45"/>
  <c r="AP43"/>
  <c r="AP41"/>
  <c r="AP39"/>
  <c r="AP37"/>
  <c r="AP35"/>
  <c r="AP33"/>
  <c r="AP31"/>
  <c r="AP29"/>
  <c r="AP27"/>
  <c r="AP25"/>
  <c r="AP23"/>
  <c r="AP21"/>
  <c r="AP19"/>
  <c r="AP17"/>
  <c r="AP15"/>
  <c r="AP11"/>
  <c r="AG59"/>
  <c r="AP8"/>
  <c r="AL59" i="37"/>
  <c r="AJ59"/>
  <c r="AM59"/>
  <c r="AP59" i="1" l="1"/>
  <c r="AQ59"/>
  <c r="AO8" i="37"/>
  <c r="K59" i="36"/>
  <c r="AO59" i="37" l="1"/>
  <c r="AP8" s="1"/>
  <c r="C7" i="28"/>
  <c r="C58" l="1"/>
  <c r="AP21" i="37"/>
  <c r="AP17"/>
  <c r="AP22"/>
  <c r="AP18"/>
  <c r="AP15"/>
  <c r="AP13"/>
  <c r="AP10"/>
  <c r="AP57"/>
  <c r="AP55"/>
  <c r="AP53"/>
  <c r="AP51"/>
  <c r="AP49"/>
  <c r="AP47"/>
  <c r="AP45"/>
  <c r="AP43"/>
  <c r="AP41"/>
  <c r="AP39"/>
  <c r="AP37"/>
  <c r="AP35"/>
  <c r="AP33"/>
  <c r="AP31"/>
  <c r="AP29"/>
  <c r="AP24"/>
  <c r="AP23"/>
  <c r="AP19"/>
  <c r="AP11"/>
  <c r="AP20"/>
  <c r="AP16"/>
  <c r="AP14"/>
  <c r="AP12"/>
  <c r="AP58"/>
  <c r="AP56"/>
  <c r="AP54"/>
  <c r="AP52"/>
  <c r="AP50"/>
  <c r="AP48"/>
  <c r="AP46"/>
  <c r="AP44"/>
  <c r="AP42"/>
  <c r="AP40"/>
  <c r="AP38"/>
  <c r="AP36"/>
  <c r="AP34"/>
  <c r="AP32"/>
  <c r="AP30"/>
  <c r="AP28"/>
  <c r="AP9"/>
  <c r="AP27"/>
  <c r="AP25"/>
  <c r="AP26"/>
  <c r="AP59" l="1"/>
  <c r="E59" i="1"/>
  <c r="F19" s="1"/>
  <c r="G19" s="1"/>
  <c r="B59"/>
  <c r="C11" s="1"/>
  <c r="C10"/>
  <c r="C25"/>
  <c r="C39"/>
  <c r="D39" s="1"/>
  <c r="C47"/>
  <c r="D47" s="1"/>
  <c r="C55"/>
  <c r="D55" s="1"/>
  <c r="C53" l="1"/>
  <c r="D53" s="1"/>
  <c r="C43"/>
  <c r="D43" s="1"/>
  <c r="C33"/>
  <c r="D33" s="1"/>
  <c r="C18"/>
  <c r="C56"/>
  <c r="F59"/>
  <c r="F27"/>
  <c r="G27" s="1"/>
  <c r="F43"/>
  <c r="G43" s="1"/>
  <c r="F11"/>
  <c r="G11" s="1"/>
  <c r="C34"/>
  <c r="C48"/>
  <c r="C17"/>
  <c r="C57"/>
  <c r="D57" s="1"/>
  <c r="C49"/>
  <c r="D49" s="1"/>
  <c r="C45"/>
  <c r="D45" s="1"/>
  <c r="C41"/>
  <c r="D41" s="1"/>
  <c r="C37"/>
  <c r="D37" s="1"/>
  <c r="C29"/>
  <c r="C21"/>
  <c r="D21" s="1"/>
  <c r="C14"/>
  <c r="C51"/>
  <c r="D51" s="1"/>
  <c r="H51" s="1"/>
  <c r="AO51" s="1"/>
  <c r="AR51" s="1"/>
  <c r="C52"/>
  <c r="C42"/>
  <c r="D42" s="1"/>
  <c r="C26"/>
  <c r="C9"/>
  <c r="D9" s="1"/>
  <c r="F51"/>
  <c r="G51" s="1"/>
  <c r="F35"/>
  <c r="G35" s="1"/>
  <c r="C35"/>
  <c r="D35" s="1"/>
  <c r="C31"/>
  <c r="C27"/>
  <c r="C23"/>
  <c r="C19"/>
  <c r="C16"/>
  <c r="C12"/>
  <c r="C8"/>
  <c r="C58"/>
  <c r="C54"/>
  <c r="C50"/>
  <c r="C46"/>
  <c r="C38"/>
  <c r="C30"/>
  <c r="C22"/>
  <c r="C13"/>
  <c r="C44"/>
  <c r="C40"/>
  <c r="C36"/>
  <c r="C32"/>
  <c r="C28"/>
  <c r="C24"/>
  <c r="C20"/>
  <c r="C15"/>
  <c r="F8"/>
  <c r="G8" s="1"/>
  <c r="AK59"/>
  <c r="F55"/>
  <c r="G55" s="1"/>
  <c r="H55" s="1"/>
  <c r="AO55" s="1"/>
  <c r="AR55" s="1"/>
  <c r="F47"/>
  <c r="G47" s="1"/>
  <c r="H47" s="1"/>
  <c r="AO47" s="1"/>
  <c r="AR47" s="1"/>
  <c r="F39"/>
  <c r="G39" s="1"/>
  <c r="H39" s="1"/>
  <c r="AO39" s="1"/>
  <c r="AR39" s="1"/>
  <c r="F31"/>
  <c r="G31" s="1"/>
  <c r="F23"/>
  <c r="G23" s="1"/>
  <c r="F15"/>
  <c r="G15" s="1"/>
  <c r="F57"/>
  <c r="G57" s="1"/>
  <c r="F53"/>
  <c r="G53" s="1"/>
  <c r="F49"/>
  <c r="G49" s="1"/>
  <c r="H49" s="1"/>
  <c r="AO49" s="1"/>
  <c r="AR49" s="1"/>
  <c r="F45"/>
  <c r="G45" s="1"/>
  <c r="H45" s="1"/>
  <c r="AO45" s="1"/>
  <c r="AR45" s="1"/>
  <c r="F41"/>
  <c r="G41" s="1"/>
  <c r="H41" s="1"/>
  <c r="AO41" s="1"/>
  <c r="AR41" s="1"/>
  <c r="F37"/>
  <c r="G37" s="1"/>
  <c r="H37" s="1"/>
  <c r="AO37" s="1"/>
  <c r="AR37" s="1"/>
  <c r="F33"/>
  <c r="G33" s="1"/>
  <c r="F29"/>
  <c r="G29" s="1"/>
  <c r="F25"/>
  <c r="G25" s="1"/>
  <c r="F21"/>
  <c r="G21" s="1"/>
  <c r="F17"/>
  <c r="G17" s="1"/>
  <c r="F13"/>
  <c r="G13" s="1"/>
  <c r="F9"/>
  <c r="G9" s="1"/>
  <c r="H53"/>
  <c r="AO53" s="1"/>
  <c r="AR53" s="1"/>
  <c r="H43"/>
  <c r="AO43" s="1"/>
  <c r="AR43" s="1"/>
  <c r="H35"/>
  <c r="AO35" s="1"/>
  <c r="AR35" s="1"/>
  <c r="D29"/>
  <c r="D25"/>
  <c r="D18"/>
  <c r="D14"/>
  <c r="D10"/>
  <c r="D56"/>
  <c r="D52"/>
  <c r="D48"/>
  <c r="D44"/>
  <c r="D40"/>
  <c r="D36"/>
  <c r="D32"/>
  <c r="D28"/>
  <c r="D24"/>
  <c r="D20"/>
  <c r="D15"/>
  <c r="H15" s="1"/>
  <c r="AO15" s="1"/>
  <c r="AR15" s="1"/>
  <c r="D11"/>
  <c r="D31"/>
  <c r="H31" s="1"/>
  <c r="AO31" s="1"/>
  <c r="AR31" s="1"/>
  <c r="D27"/>
  <c r="D23"/>
  <c r="H23" s="1"/>
  <c r="AO23" s="1"/>
  <c r="AR23" s="1"/>
  <c r="D19"/>
  <c r="H19" s="1"/>
  <c r="AO19" s="1"/>
  <c r="AR19" s="1"/>
  <c r="D16"/>
  <c r="D12"/>
  <c r="D8"/>
  <c r="H8" s="1"/>
  <c r="AO8" s="1"/>
  <c r="D58"/>
  <c r="D54"/>
  <c r="D50"/>
  <c r="D46"/>
  <c r="D38"/>
  <c r="D34"/>
  <c r="D30"/>
  <c r="D26"/>
  <c r="D22"/>
  <c r="D17"/>
  <c r="D13"/>
  <c r="H13" s="1"/>
  <c r="AO13" s="1"/>
  <c r="AR13" s="1"/>
  <c r="F58"/>
  <c r="G58" s="1"/>
  <c r="F56"/>
  <c r="G56" s="1"/>
  <c r="F54"/>
  <c r="G54" s="1"/>
  <c r="H54" s="1"/>
  <c r="AO54" s="1"/>
  <c r="AR54" s="1"/>
  <c r="F52"/>
  <c r="G52" s="1"/>
  <c r="H52" s="1"/>
  <c r="AO52" s="1"/>
  <c r="AR52" s="1"/>
  <c r="F50"/>
  <c r="G50" s="1"/>
  <c r="F48"/>
  <c r="G48" s="1"/>
  <c r="F46"/>
  <c r="G46" s="1"/>
  <c r="H46" s="1"/>
  <c r="AO46" s="1"/>
  <c r="AR46" s="1"/>
  <c r="F44"/>
  <c r="G44" s="1"/>
  <c r="H44" s="1"/>
  <c r="AO44" s="1"/>
  <c r="AR44" s="1"/>
  <c r="F42"/>
  <c r="G42" s="1"/>
  <c r="F40"/>
  <c r="G40" s="1"/>
  <c r="F38"/>
  <c r="G38" s="1"/>
  <c r="H38" s="1"/>
  <c r="AO38" s="1"/>
  <c r="AR38" s="1"/>
  <c r="F36"/>
  <c r="G36" s="1"/>
  <c r="H36" s="1"/>
  <c r="AO36" s="1"/>
  <c r="AR36" s="1"/>
  <c r="F34"/>
  <c r="G34" s="1"/>
  <c r="F32"/>
  <c r="G32" s="1"/>
  <c r="F30"/>
  <c r="G30" s="1"/>
  <c r="H30" s="1"/>
  <c r="AO30" s="1"/>
  <c r="AR30" s="1"/>
  <c r="F28"/>
  <c r="G28" s="1"/>
  <c r="H28" s="1"/>
  <c r="AO28" s="1"/>
  <c r="AR28" s="1"/>
  <c r="F26"/>
  <c r="G26" s="1"/>
  <c r="F24"/>
  <c r="G24" s="1"/>
  <c r="F22"/>
  <c r="G22" s="1"/>
  <c r="H22" s="1"/>
  <c r="AO22" s="1"/>
  <c r="AR22" s="1"/>
  <c r="F20"/>
  <c r="G20" s="1"/>
  <c r="H20" s="1"/>
  <c r="AO20" s="1"/>
  <c r="AR20" s="1"/>
  <c r="F18"/>
  <c r="G18" s="1"/>
  <c r="H18" s="1"/>
  <c r="AO18" s="1"/>
  <c r="AR18" s="1"/>
  <c r="F16"/>
  <c r="G16" s="1"/>
  <c r="F14"/>
  <c r="G14" s="1"/>
  <c r="H14" s="1"/>
  <c r="AO14" s="1"/>
  <c r="AR14" s="1"/>
  <c r="F12"/>
  <c r="G12" s="1"/>
  <c r="H12" s="1"/>
  <c r="AO12" s="1"/>
  <c r="AR12" s="1"/>
  <c r="F10"/>
  <c r="G10" s="1"/>
  <c r="H27" l="1"/>
  <c r="AO27" s="1"/>
  <c r="AR27" s="1"/>
  <c r="H11"/>
  <c r="AO11" s="1"/>
  <c r="AR11" s="1"/>
  <c r="H33"/>
  <c r="AO33" s="1"/>
  <c r="AR33" s="1"/>
  <c r="H57"/>
  <c r="AO57" s="1"/>
  <c r="AR57" s="1"/>
  <c r="C59"/>
  <c r="H21"/>
  <c r="AO21" s="1"/>
  <c r="AR21" s="1"/>
  <c r="H29"/>
  <c r="AO29" s="1"/>
  <c r="AR29" s="1"/>
  <c r="H26"/>
  <c r="AO26" s="1"/>
  <c r="AR26" s="1"/>
  <c r="H34"/>
  <c r="AO34" s="1"/>
  <c r="AR34" s="1"/>
  <c r="H42"/>
  <c r="AO42" s="1"/>
  <c r="AR42" s="1"/>
  <c r="H50"/>
  <c r="AO50" s="1"/>
  <c r="AR50" s="1"/>
  <c r="H58"/>
  <c r="AO58" s="1"/>
  <c r="AR58" s="1"/>
  <c r="H25"/>
  <c r="AO25" s="1"/>
  <c r="AR25" s="1"/>
  <c r="AR8"/>
  <c r="H16"/>
  <c r="AO16" s="1"/>
  <c r="AR16" s="1"/>
  <c r="H24"/>
  <c r="AO24" s="1"/>
  <c r="AR24" s="1"/>
  <c r="H32"/>
  <c r="AO32" s="1"/>
  <c r="AR32" s="1"/>
  <c r="H40"/>
  <c r="AO40" s="1"/>
  <c r="AR40" s="1"/>
  <c r="H48"/>
  <c r="AO48" s="1"/>
  <c r="AR48" s="1"/>
  <c r="H56"/>
  <c r="AO56" s="1"/>
  <c r="AR56" s="1"/>
  <c r="H9"/>
  <c r="AO9" s="1"/>
  <c r="AR9" s="1"/>
  <c r="H17"/>
  <c r="AO17" s="1"/>
  <c r="AR17" s="1"/>
  <c r="G59"/>
  <c r="H10"/>
  <c r="AO10" s="1"/>
  <c r="AR10" s="1"/>
  <c r="D59"/>
  <c r="AR59" l="1"/>
  <c r="AO59"/>
  <c r="H59"/>
  <c r="AS8" l="1"/>
  <c r="H8" i="36" s="1"/>
  <c r="AS48" i="1"/>
  <c r="H48" i="36" s="1"/>
  <c r="L48" s="1"/>
  <c r="M48" s="1"/>
  <c r="D47" i="28" s="1"/>
  <c r="I47" s="1"/>
  <c r="AS24" i="1"/>
  <c r="H24" i="36" s="1"/>
  <c r="L24" s="1"/>
  <c r="M24" s="1"/>
  <c r="D23" i="28" s="1"/>
  <c r="I23" s="1"/>
  <c r="AS16" i="1"/>
  <c r="H16" i="36" s="1"/>
  <c r="L16" s="1"/>
  <c r="M16" s="1"/>
  <c r="D15" i="28" s="1"/>
  <c r="I15" s="1"/>
  <c r="AS9" i="1"/>
  <c r="H9" i="36" s="1"/>
  <c r="L9" s="1"/>
  <c r="M9" s="1"/>
  <c r="D8" i="28" s="1"/>
  <c r="I8" s="1"/>
  <c r="AS56" i="1"/>
  <c r="H56" i="36" s="1"/>
  <c r="L56" s="1"/>
  <c r="M56" s="1"/>
  <c r="D55" i="28" s="1"/>
  <c r="I55" s="1"/>
  <c r="AS32" i="1"/>
  <c r="H32" i="36" s="1"/>
  <c r="L32" s="1"/>
  <c r="M32" s="1"/>
  <c r="D31" i="28" s="1"/>
  <c r="I31" s="1"/>
  <c r="AS17" i="1"/>
  <c r="H17" i="36" s="1"/>
  <c r="L17" s="1"/>
  <c r="M17" s="1"/>
  <c r="D16" i="28" s="1"/>
  <c r="I16" s="1"/>
  <c r="AS10" i="1"/>
  <c r="H10" i="36" s="1"/>
  <c r="L10" s="1"/>
  <c r="M10" s="1"/>
  <c r="D9" i="28" s="1"/>
  <c r="I9" s="1"/>
  <c r="AS40" i="1"/>
  <c r="H40" i="36" s="1"/>
  <c r="L40" s="1"/>
  <c r="M40" s="1"/>
  <c r="D39" i="28" s="1"/>
  <c r="I39" s="1"/>
  <c r="AS14" i="1"/>
  <c r="H14" i="36" s="1"/>
  <c r="L14" s="1"/>
  <c r="M14" s="1"/>
  <c r="D13" i="28" s="1"/>
  <c r="I13" s="1"/>
  <c r="AS26" i="1"/>
  <c r="H26" i="36" s="1"/>
  <c r="L26" s="1"/>
  <c r="M26" s="1"/>
  <c r="D25" i="28" s="1"/>
  <c r="I25" s="1"/>
  <c r="AS42" i="1"/>
  <c r="H42" i="36" s="1"/>
  <c r="L42" s="1"/>
  <c r="M42" s="1"/>
  <c r="D41" i="28" s="1"/>
  <c r="I41" s="1"/>
  <c r="AS58" i="1"/>
  <c r="H58" i="36" s="1"/>
  <c r="L58" s="1"/>
  <c r="M58" s="1"/>
  <c r="D57" i="28" s="1"/>
  <c r="I57" s="1"/>
  <c r="AS15" i="1"/>
  <c r="H15" i="36" s="1"/>
  <c r="L15" s="1"/>
  <c r="M15" s="1"/>
  <c r="D14" i="28" s="1"/>
  <c r="I14" s="1"/>
  <c r="AS43" i="1"/>
  <c r="H43" i="36" s="1"/>
  <c r="L43" s="1"/>
  <c r="M43" s="1"/>
  <c r="D42" i="28" s="1"/>
  <c r="I42" s="1"/>
  <c r="AS45" i="1"/>
  <c r="H45" i="36" s="1"/>
  <c r="L45" s="1"/>
  <c r="M45" s="1"/>
  <c r="D44" i="28" s="1"/>
  <c r="I44" s="1"/>
  <c r="AS41" i="1"/>
  <c r="H41" i="36" s="1"/>
  <c r="L41" s="1"/>
  <c r="M41" s="1"/>
  <c r="D40" i="28" s="1"/>
  <c r="I40" s="1"/>
  <c r="AS57" i="1"/>
  <c r="H57" i="36" s="1"/>
  <c r="L57" s="1"/>
  <c r="M57" s="1"/>
  <c r="D56" i="28" s="1"/>
  <c r="I56" s="1"/>
  <c r="AS51" i="1"/>
  <c r="H51" i="36" s="1"/>
  <c r="L51" s="1"/>
  <c r="M51" s="1"/>
  <c r="D50" i="28" s="1"/>
  <c r="I50" s="1"/>
  <c r="AS37" i="1"/>
  <c r="H37" i="36" s="1"/>
  <c r="L37" s="1"/>
  <c r="M37" s="1"/>
  <c r="D36" i="28" s="1"/>
  <c r="I36" s="1"/>
  <c r="AS54" i="1"/>
  <c r="H54" i="36" s="1"/>
  <c r="L54" s="1"/>
  <c r="M54" s="1"/>
  <c r="D53" i="28" s="1"/>
  <c r="I53" s="1"/>
  <c r="AS47" i="1"/>
  <c r="H47" i="36" s="1"/>
  <c r="L47" s="1"/>
  <c r="M47" s="1"/>
  <c r="D46" i="28" s="1"/>
  <c r="I46" s="1"/>
  <c r="AS22" i="1"/>
  <c r="H22" i="36" s="1"/>
  <c r="L22" s="1"/>
  <c r="M22" s="1"/>
  <c r="D21" i="28" s="1"/>
  <c r="I21" s="1"/>
  <c r="AS34" i="1"/>
  <c r="H34" i="36" s="1"/>
  <c r="L34" s="1"/>
  <c r="M34" s="1"/>
  <c r="D33" i="28" s="1"/>
  <c r="I33" s="1"/>
  <c r="AS50" i="1"/>
  <c r="H50" i="36" s="1"/>
  <c r="L50" s="1"/>
  <c r="M50" s="1"/>
  <c r="D49" i="28" s="1"/>
  <c r="I49" s="1"/>
  <c r="AS23" i="1"/>
  <c r="H23" i="36" s="1"/>
  <c r="L23" s="1"/>
  <c r="M23" s="1"/>
  <c r="D22" i="28" s="1"/>
  <c r="I22" s="1"/>
  <c r="AS35" i="1"/>
  <c r="H35" i="36" s="1"/>
  <c r="L35" s="1"/>
  <c r="M35" s="1"/>
  <c r="D34" i="28" s="1"/>
  <c r="I34" s="1"/>
  <c r="AS55" i="1"/>
  <c r="H55" i="36" s="1"/>
  <c r="L55" s="1"/>
  <c r="M55" s="1"/>
  <c r="D54" i="28" s="1"/>
  <c r="I54" s="1"/>
  <c r="AS33" i="1"/>
  <c r="H33" i="36" s="1"/>
  <c r="L33" s="1"/>
  <c r="M33" s="1"/>
  <c r="D32" i="28" s="1"/>
  <c r="I32" s="1"/>
  <c r="AS49" i="1"/>
  <c r="H49" i="36" s="1"/>
  <c r="L49" s="1"/>
  <c r="M49" s="1"/>
  <c r="D48" i="28" s="1"/>
  <c r="I48" s="1"/>
  <c r="AS12" i="1"/>
  <c r="H12" i="36" s="1"/>
  <c r="L12" s="1"/>
  <c r="M12" s="1"/>
  <c r="D11" i="28" s="1"/>
  <c r="I11" s="1"/>
  <c r="AS20" i="1"/>
  <c r="H20" i="36" s="1"/>
  <c r="L20" s="1"/>
  <c r="M20" s="1"/>
  <c r="D19" i="28" s="1"/>
  <c r="I19" s="1"/>
  <c r="AS28" i="1"/>
  <c r="H28" i="36" s="1"/>
  <c r="L28" s="1"/>
  <c r="M28" s="1"/>
  <c r="D27" i="28" s="1"/>
  <c r="I27" s="1"/>
  <c r="AS36" i="1"/>
  <c r="H36" i="36" s="1"/>
  <c r="L36" s="1"/>
  <c r="M36" s="1"/>
  <c r="D35" i="28" s="1"/>
  <c r="I35" s="1"/>
  <c r="AS44" i="1"/>
  <c r="H44" i="36" s="1"/>
  <c r="L44" s="1"/>
  <c r="M44" s="1"/>
  <c r="D43" i="28" s="1"/>
  <c r="I43" s="1"/>
  <c r="AS52" i="1"/>
  <c r="H52" i="36" s="1"/>
  <c r="L52" s="1"/>
  <c r="M52" s="1"/>
  <c r="D51" i="28" s="1"/>
  <c r="I51" s="1"/>
  <c r="AS19" i="1"/>
  <c r="H19" i="36" s="1"/>
  <c r="L19" s="1"/>
  <c r="M19" s="1"/>
  <c r="D18" i="28" s="1"/>
  <c r="I18" s="1"/>
  <c r="AS11" i="1"/>
  <c r="H11" i="36" s="1"/>
  <c r="L11" s="1"/>
  <c r="M11" s="1"/>
  <c r="D10" i="28" s="1"/>
  <c r="I10" s="1"/>
  <c r="AS21" i="1"/>
  <c r="H21" i="36" s="1"/>
  <c r="L21" s="1"/>
  <c r="M21" s="1"/>
  <c r="AS39" i="1"/>
  <c r="H39" i="36" s="1"/>
  <c r="L39" s="1"/>
  <c r="M39" s="1"/>
  <c r="D38" i="28" s="1"/>
  <c r="I38" s="1"/>
  <c r="AS53" i="1"/>
  <c r="H53" i="36" s="1"/>
  <c r="L53" s="1"/>
  <c r="M53" s="1"/>
  <c r="D52" i="28" s="1"/>
  <c r="I52" s="1"/>
  <c r="AS30" i="1"/>
  <c r="H30" i="36" s="1"/>
  <c r="L30" s="1"/>
  <c r="M30" s="1"/>
  <c r="D29" i="28" s="1"/>
  <c r="I29" s="1"/>
  <c r="AS46" i="1"/>
  <c r="H46" i="36" s="1"/>
  <c r="L46" s="1"/>
  <c r="M46" s="1"/>
  <c r="D45" i="28" s="1"/>
  <c r="I45" s="1"/>
  <c r="AS13" i="1"/>
  <c r="H13" i="36" s="1"/>
  <c r="L13" s="1"/>
  <c r="M13" s="1"/>
  <c r="D12" i="28" s="1"/>
  <c r="I12" s="1"/>
  <c r="AS25" i="1"/>
  <c r="H25" i="36" s="1"/>
  <c r="L25" s="1"/>
  <c r="M25" s="1"/>
  <c r="D24" i="28" s="1"/>
  <c r="I24" s="1"/>
  <c r="AS27" i="1"/>
  <c r="H27" i="36" s="1"/>
  <c r="L27" s="1"/>
  <c r="M27" s="1"/>
  <c r="D26" i="28" s="1"/>
  <c r="I26" s="1"/>
  <c r="AS29" i="1"/>
  <c r="H29" i="36" s="1"/>
  <c r="L29" s="1"/>
  <c r="M29" s="1"/>
  <c r="D28" i="28" s="1"/>
  <c r="I28" s="1"/>
  <c r="AS18" i="1"/>
  <c r="H18" i="36" s="1"/>
  <c r="L18" s="1"/>
  <c r="M18" s="1"/>
  <c r="D17" i="28" s="1"/>
  <c r="I17" s="1"/>
  <c r="AS38" i="1"/>
  <c r="H38" i="36" s="1"/>
  <c r="L38" s="1"/>
  <c r="M38" s="1"/>
  <c r="D37" i="28" s="1"/>
  <c r="I37" s="1"/>
  <c r="AS31" i="1"/>
  <c r="H31" i="36" s="1"/>
  <c r="L31" s="1"/>
  <c r="M31" s="1"/>
  <c r="D30" i="28" s="1"/>
  <c r="I30" s="1"/>
  <c r="F30" l="1"/>
  <c r="E30"/>
  <c r="F26"/>
  <c r="E26"/>
  <c r="F29"/>
  <c r="E29"/>
  <c r="F37"/>
  <c r="E37"/>
  <c r="F28"/>
  <c r="E28"/>
  <c r="F24"/>
  <c r="E24"/>
  <c r="F45"/>
  <c r="E45"/>
  <c r="F52"/>
  <c r="E52"/>
  <c r="F18"/>
  <c r="E18"/>
  <c r="F43"/>
  <c r="E43"/>
  <c r="F27"/>
  <c r="E27"/>
  <c r="F11"/>
  <c r="E11"/>
  <c r="F32"/>
  <c r="E32"/>
  <c r="F34"/>
  <c r="E34"/>
  <c r="F49"/>
  <c r="E49"/>
  <c r="F21"/>
  <c r="E21"/>
  <c r="F53"/>
  <c r="E53"/>
  <c r="F50"/>
  <c r="E50"/>
  <c r="F40"/>
  <c r="E40"/>
  <c r="F42"/>
  <c r="E42"/>
  <c r="F57"/>
  <c r="E57"/>
  <c r="F25"/>
  <c r="E25"/>
  <c r="F39"/>
  <c r="E39"/>
  <c r="F16"/>
  <c r="E16"/>
  <c r="F55"/>
  <c r="E55"/>
  <c r="F15"/>
  <c r="E15"/>
  <c r="F47"/>
  <c r="E47"/>
  <c r="F17"/>
  <c r="E17"/>
  <c r="F12"/>
  <c r="E12"/>
  <c r="F38"/>
  <c r="E38"/>
  <c r="F10"/>
  <c r="E10"/>
  <c r="F51"/>
  <c r="E51"/>
  <c r="F35"/>
  <c r="E35"/>
  <c r="F19"/>
  <c r="E19"/>
  <c r="F48"/>
  <c r="E48"/>
  <c r="F54"/>
  <c r="E54"/>
  <c r="F22"/>
  <c r="E22"/>
  <c r="F33"/>
  <c r="E33"/>
  <c r="F46"/>
  <c r="E46"/>
  <c r="F36"/>
  <c r="E36"/>
  <c r="F56"/>
  <c r="E56"/>
  <c r="F44"/>
  <c r="E44"/>
  <c r="F14"/>
  <c r="E14"/>
  <c r="F41"/>
  <c r="E41"/>
  <c r="F13"/>
  <c r="E13"/>
  <c r="F9"/>
  <c r="E9"/>
  <c r="F31"/>
  <c r="E31"/>
  <c r="F8"/>
  <c r="E8"/>
  <c r="F23"/>
  <c r="E23"/>
  <c r="D20"/>
  <c r="AS59" i="1"/>
  <c r="L8" i="36"/>
  <c r="H59"/>
  <c r="E20" i="28" l="1"/>
  <c r="I20"/>
  <c r="J23"/>
  <c r="G23"/>
  <c r="H23" s="1"/>
  <c r="J8"/>
  <c r="G8"/>
  <c r="H8" s="1"/>
  <c r="J31"/>
  <c r="G31"/>
  <c r="H31" s="1"/>
  <c r="J9"/>
  <c r="G9"/>
  <c r="H9" s="1"/>
  <c r="J13"/>
  <c r="G13"/>
  <c r="H13" s="1"/>
  <c r="J41"/>
  <c r="G41"/>
  <c r="H41" s="1"/>
  <c r="J14"/>
  <c r="G14"/>
  <c r="H14" s="1"/>
  <c r="J44"/>
  <c r="G44"/>
  <c r="H44" s="1"/>
  <c r="J56"/>
  <c r="G56"/>
  <c r="H56" s="1"/>
  <c r="J36"/>
  <c r="G36"/>
  <c r="H36" s="1"/>
  <c r="J46"/>
  <c r="G46"/>
  <c r="H46" s="1"/>
  <c r="J33"/>
  <c r="G33"/>
  <c r="H33" s="1"/>
  <c r="J22"/>
  <c r="G22"/>
  <c r="H22" s="1"/>
  <c r="J54"/>
  <c r="G54"/>
  <c r="H54" s="1"/>
  <c r="J48"/>
  <c r="G48"/>
  <c r="H48" s="1"/>
  <c r="J19"/>
  <c r="G19"/>
  <c r="H19" s="1"/>
  <c r="J35"/>
  <c r="G35"/>
  <c r="H35" s="1"/>
  <c r="J51"/>
  <c r="G51"/>
  <c r="H51" s="1"/>
  <c r="J10"/>
  <c r="G10"/>
  <c r="H10" s="1"/>
  <c r="J38"/>
  <c r="G38"/>
  <c r="H38" s="1"/>
  <c r="J12"/>
  <c r="G12"/>
  <c r="H12" s="1"/>
  <c r="J17"/>
  <c r="G17"/>
  <c r="H17" s="1"/>
  <c r="J47"/>
  <c r="G47"/>
  <c r="H47" s="1"/>
  <c r="J15"/>
  <c r="G15"/>
  <c r="H15" s="1"/>
  <c r="J55"/>
  <c r="G55"/>
  <c r="H55" s="1"/>
  <c r="J16"/>
  <c r="G16"/>
  <c r="H16" s="1"/>
  <c r="J39"/>
  <c r="G39"/>
  <c r="H39" s="1"/>
  <c r="J25"/>
  <c r="G25"/>
  <c r="H25" s="1"/>
  <c r="J57"/>
  <c r="G57"/>
  <c r="H57" s="1"/>
  <c r="J42"/>
  <c r="G42"/>
  <c r="H42" s="1"/>
  <c r="J40"/>
  <c r="G40"/>
  <c r="H40" s="1"/>
  <c r="J50"/>
  <c r="G50"/>
  <c r="H50" s="1"/>
  <c r="J53"/>
  <c r="G53"/>
  <c r="H53" s="1"/>
  <c r="J21"/>
  <c r="G21"/>
  <c r="H21" s="1"/>
  <c r="J49"/>
  <c r="G49"/>
  <c r="H49" s="1"/>
  <c r="J34"/>
  <c r="G34"/>
  <c r="H34" s="1"/>
  <c r="J32"/>
  <c r="G32"/>
  <c r="H32" s="1"/>
  <c r="J11"/>
  <c r="G11"/>
  <c r="H11" s="1"/>
  <c r="J27"/>
  <c r="G27"/>
  <c r="H27" s="1"/>
  <c r="J43"/>
  <c r="G43"/>
  <c r="H43" s="1"/>
  <c r="J18"/>
  <c r="G18"/>
  <c r="H18" s="1"/>
  <c r="J52"/>
  <c r="G52"/>
  <c r="H52" s="1"/>
  <c r="J45"/>
  <c r="G45"/>
  <c r="H45" s="1"/>
  <c r="J24"/>
  <c r="G24"/>
  <c r="H24" s="1"/>
  <c r="J28"/>
  <c r="G28"/>
  <c r="H28" s="1"/>
  <c r="J37"/>
  <c r="G37"/>
  <c r="H37" s="1"/>
  <c r="J29"/>
  <c r="G29"/>
  <c r="H29" s="1"/>
  <c r="J26"/>
  <c r="G26"/>
  <c r="H26" s="1"/>
  <c r="J30"/>
  <c r="G30"/>
  <c r="H30" s="1"/>
  <c r="F20"/>
  <c r="L59" i="36"/>
  <c r="M8"/>
  <c r="D7" i="28" s="1"/>
  <c r="E7" l="1"/>
  <c r="E58" s="1"/>
  <c r="I7"/>
  <c r="J20"/>
  <c r="G20"/>
  <c r="H20" s="1"/>
  <c r="D58"/>
  <c r="F7"/>
  <c r="M59" i="36"/>
  <c r="N8" s="1"/>
  <c r="F58" i="28" l="1"/>
  <c r="J7"/>
  <c r="G7"/>
  <c r="H7" s="1"/>
  <c r="N16" i="36"/>
  <c r="N9"/>
  <c r="N40"/>
  <c r="N48"/>
  <c r="N24"/>
  <c r="N32"/>
  <c r="N10"/>
  <c r="N56"/>
  <c r="N17"/>
  <c r="N31"/>
  <c r="N27"/>
  <c r="N30"/>
  <c r="N11"/>
  <c r="N36"/>
  <c r="N49"/>
  <c r="N23"/>
  <c r="N47"/>
  <c r="N57"/>
  <c r="N15"/>
  <c r="N14"/>
  <c r="N29"/>
  <c r="N46"/>
  <c r="N21"/>
  <c r="N44"/>
  <c r="N12"/>
  <c r="N35"/>
  <c r="N22"/>
  <c r="N51"/>
  <c r="N43"/>
  <c r="N26"/>
  <c r="N18"/>
  <c r="N13"/>
  <c r="N39"/>
  <c r="N52"/>
  <c r="N20"/>
  <c r="N55"/>
  <c r="N34"/>
  <c r="N37"/>
  <c r="N45"/>
  <c r="N42"/>
  <c r="N38"/>
  <c r="N25"/>
  <c r="N53"/>
  <c r="N19"/>
  <c r="N28"/>
  <c r="N33"/>
  <c r="N50"/>
  <c r="N54"/>
  <c r="N41"/>
  <c r="N58"/>
  <c r="J58" i="28" l="1"/>
  <c r="G58"/>
  <c r="N59" i="36"/>
  <c r="H58" i="28"/>
  <c r="K4" s="1"/>
  <c r="I58"/>
  <c r="K28" l="1"/>
  <c r="K25" l="1"/>
  <c r="K29"/>
  <c r="K20"/>
  <c r="L20" s="1"/>
  <c r="M20" s="1"/>
  <c r="K54"/>
  <c r="K39"/>
  <c r="K22"/>
  <c r="K38"/>
  <c r="K30"/>
  <c r="L30" s="1"/>
  <c r="M30" s="1"/>
  <c r="K32"/>
  <c r="L32" s="1"/>
  <c r="M32" s="1"/>
  <c r="K36"/>
  <c r="K37"/>
  <c r="L37" s="1"/>
  <c r="M37" s="1"/>
  <c r="K21"/>
  <c r="L21" s="1"/>
  <c r="M21" s="1"/>
  <c r="K14"/>
  <c r="K15"/>
  <c r="K53"/>
  <c r="L53" s="1"/>
  <c r="M53" s="1"/>
  <c r="K41"/>
  <c r="L41" s="1"/>
  <c r="M41" s="1"/>
  <c r="K51"/>
  <c r="L51" s="1"/>
  <c r="M51" s="1"/>
  <c r="K18"/>
  <c r="K13"/>
  <c r="L13" s="1"/>
  <c r="M13" s="1"/>
  <c r="K47"/>
  <c r="K50"/>
  <c r="K9"/>
  <c r="K35"/>
  <c r="K43"/>
  <c r="L43" s="1"/>
  <c r="M43" s="1"/>
  <c r="K7"/>
  <c r="K8"/>
  <c r="K56"/>
  <c r="K17"/>
  <c r="L17" s="1"/>
  <c r="M17" s="1"/>
  <c r="K16"/>
  <c r="L16" s="1"/>
  <c r="M16" s="1"/>
  <c r="K42"/>
  <c r="L42" s="1"/>
  <c r="M42" s="1"/>
  <c r="K34"/>
  <c r="L34" s="1"/>
  <c r="M34" s="1"/>
  <c r="K31"/>
  <c r="L31" s="1"/>
  <c r="M31" s="1"/>
  <c r="K33"/>
  <c r="K19"/>
  <c r="K40"/>
  <c r="L40" s="1"/>
  <c r="M40" s="1"/>
  <c r="K27"/>
  <c r="L27" s="1"/>
  <c r="M27" s="1"/>
  <c r="K45"/>
  <c r="L45" s="1"/>
  <c r="M45" s="1"/>
  <c r="K26"/>
  <c r="K44"/>
  <c r="L44" s="1"/>
  <c r="M44" s="1"/>
  <c r="K12"/>
  <c r="K55"/>
  <c r="L55" s="1"/>
  <c r="M55" s="1"/>
  <c r="K57"/>
  <c r="L57" s="1"/>
  <c r="K49"/>
  <c r="L49" s="1"/>
  <c r="M49" s="1"/>
  <c r="K23"/>
  <c r="L23" s="1"/>
  <c r="M23" s="1"/>
  <c r="K46"/>
  <c r="K48"/>
  <c r="K10"/>
  <c r="L10" s="1"/>
  <c r="M10" s="1"/>
  <c r="K11"/>
  <c r="K24"/>
  <c r="L24" s="1"/>
  <c r="M24" s="1"/>
  <c r="K52"/>
  <c r="L52" s="1"/>
  <c r="M52" s="1"/>
  <c r="L22"/>
  <c r="M22" s="1"/>
  <c r="L54"/>
  <c r="M54" s="1"/>
  <c r="L38"/>
  <c r="M38" s="1"/>
  <c r="L19"/>
  <c r="M19" s="1"/>
  <c r="L35"/>
  <c r="M35" s="1"/>
  <c r="L14"/>
  <c r="M14" s="1"/>
  <c r="L46"/>
  <c r="M46" s="1"/>
  <c r="L11"/>
  <c r="M11" s="1"/>
  <c r="L18"/>
  <c r="M18" s="1"/>
  <c r="L26"/>
  <c r="M26" s="1"/>
  <c r="L50"/>
  <c r="M50" s="1"/>
  <c r="L7"/>
  <c r="M7" s="1"/>
  <c r="L15"/>
  <c r="M15" s="1"/>
  <c r="L39"/>
  <c r="M39" s="1"/>
  <c r="L47"/>
  <c r="M47" s="1"/>
  <c r="L8"/>
  <c r="M8" s="1"/>
  <c r="L12"/>
  <c r="M12" s="1"/>
  <c r="L28"/>
  <c r="M28" s="1"/>
  <c r="L36"/>
  <c r="M36" s="1"/>
  <c r="L48"/>
  <c r="M48" s="1"/>
  <c r="L56"/>
  <c r="M56" s="1"/>
  <c r="L9"/>
  <c r="M9" s="1"/>
  <c r="L25"/>
  <c r="M25" s="1"/>
  <c r="L29"/>
  <c r="M29" s="1"/>
  <c r="L33"/>
  <c r="M33" s="1"/>
  <c r="M57"/>
  <c r="L58" l="1"/>
  <c r="N20" s="1"/>
  <c r="K58"/>
  <c r="N11" l="1"/>
  <c r="N15"/>
  <c r="N12"/>
  <c r="N29"/>
  <c r="N21"/>
  <c r="N19"/>
  <c r="N10"/>
  <c r="N49"/>
  <c r="N44"/>
  <c r="N16"/>
  <c r="N51"/>
  <c r="N17"/>
  <c r="N33"/>
  <c r="N32"/>
  <c r="N42"/>
  <c r="N39"/>
  <c r="N31"/>
  <c r="N46"/>
  <c r="N23"/>
  <c r="N50"/>
  <c r="N54"/>
  <c r="N27"/>
  <c r="N25"/>
  <c r="N37"/>
  <c r="N38"/>
  <c r="N14"/>
  <c r="N43"/>
  <c r="N48"/>
  <c r="N36"/>
  <c r="N52"/>
  <c r="N55"/>
  <c r="N35"/>
  <c r="N18"/>
  <c r="N41"/>
  <c r="N7"/>
  <c r="M58"/>
  <c r="N40"/>
  <c r="N45"/>
  <c r="N28"/>
  <c r="N24"/>
  <c r="N53"/>
  <c r="N56"/>
  <c r="N22"/>
  <c r="N34"/>
  <c r="N47"/>
  <c r="N9"/>
  <c r="N26"/>
  <c r="N8"/>
  <c r="N57"/>
  <c r="N30"/>
  <c r="N13"/>
  <c r="N58" l="1"/>
</calcChain>
</file>

<file path=xl/comments1.xml><?xml version="1.0" encoding="utf-8"?>
<comments xmlns="http://schemas.openxmlformats.org/spreadsheetml/2006/main">
  <authors>
    <author>cesar.rivera</author>
  </authors>
  <commentList>
    <comment ref="H58" authorId="0">
      <text>
        <r>
          <rPr>
            <b/>
            <sz val="9"/>
            <color indexed="81"/>
            <rFont val="Tahoma"/>
            <family val="2"/>
          </rPr>
          <t>cesar.rivera:</t>
        </r>
        <r>
          <rPr>
            <sz val="9"/>
            <color indexed="81"/>
            <rFont val="Tahoma"/>
            <family val="2"/>
          </rPr>
          <t xml:space="preserve">
art 7° fracc IV
</t>
        </r>
      </text>
    </comment>
  </commentList>
</comments>
</file>

<file path=xl/sharedStrings.xml><?xml version="1.0" encoding="utf-8"?>
<sst xmlns="http://schemas.openxmlformats.org/spreadsheetml/2006/main" count="552" uniqueCount="253">
  <si>
    <t>MUNICIPIO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</si>
  <si>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</si>
  <si>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</si>
  <si>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</si>
  <si>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</si>
  <si>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</si>
  <si>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</si>
  <si>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</si>
  <si>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</si>
  <si>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</si>
  <si>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</si>
  <si>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</si>
  <si>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</si>
  <si>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</si>
  <si>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</si>
  <si>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</si>
  <si>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</si>
  <si>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</si>
  <si>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</si>
  <si>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</si>
  <si>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</si>
  <si>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</si>
  <si>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</si>
  <si>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</si>
  <si>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</si>
  <si>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</si>
  <si>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</si>
  <si>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</si>
  <si>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</si>
  <si>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</si>
  <si>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</si>
  <si>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</si>
  <si>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</si>
  <si>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</si>
  <si>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</si>
  <si>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</si>
  <si>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</si>
  <si>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</si>
  <si>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</si>
  <si>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</si>
  <si>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</si>
  <si>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</si>
  <si>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</si>
  <si>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</si>
  <si>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</si>
  <si>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</si>
  <si>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</si>
  <si>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</si>
  <si>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</si>
  <si>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</si>
  <si>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</si>
  <si>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</si>
  <si>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 xml:space="preserve">        TOTAL</t>
  </si>
  <si>
    <t>TOTAL</t>
  </si>
  <si>
    <t>RP</t>
  </si>
  <si>
    <t>P=RP/BG</t>
  </si>
  <si>
    <t>ER=P*RP</t>
  </si>
  <si>
    <t>PC</t>
  </si>
  <si>
    <t>PO</t>
  </si>
  <si>
    <t>TERRITORIO (KM2)</t>
  </si>
  <si>
    <t>CS2</t>
  </si>
  <si>
    <t>CS1</t>
  </si>
  <si>
    <t>MS</t>
  </si>
  <si>
    <t>COEF  CARENCIA SOCIAL
2010</t>
  </si>
  <si>
    <t>COEF CARENCIA SOCIAL
2000</t>
  </si>
  <si>
    <t>APOYO</t>
  </si>
  <si>
    <t>[(CS2-CS1)/CS1]</t>
  </si>
  <si>
    <t>COEF APOYO
MEJORA SOCIAL</t>
  </si>
  <si>
    <t>CIMP=0.85(CS2/∑CS2)+0.15(MS/∑MS)</t>
  </si>
  <si>
    <t>BG</t>
  </si>
  <si>
    <t>TE</t>
  </si>
  <si>
    <t>Proporción de recaudación</t>
  </si>
  <si>
    <t>Recaudacion Ponderado Eficiencia</t>
  </si>
  <si>
    <t>RT</t>
  </si>
  <si>
    <t>a</t>
  </si>
  <si>
    <t>b</t>
  </si>
  <si>
    <t>c</t>
  </si>
  <si>
    <t>d</t>
  </si>
  <si>
    <t>e</t>
  </si>
  <si>
    <t>f</t>
  </si>
  <si>
    <t>g</t>
  </si>
  <si>
    <t>POBLACIÓN Y TERRITORIO</t>
  </si>
  <si>
    <t>CARENCIA SOCIAL</t>
  </si>
  <si>
    <t>EFECTIVIDAD REC PREDIAL</t>
  </si>
  <si>
    <t>POBLACIÓN</t>
  </si>
  <si>
    <t>PROYECCIÓN POBLACIÓN</t>
  </si>
  <si>
    <t>COEF FRACC I</t>
  </si>
  <si>
    <t>REC TENENCIA</t>
  </si>
  <si>
    <t>Art 7 - I</t>
  </si>
  <si>
    <t>Art 7 - V</t>
  </si>
  <si>
    <t>Art 7 - VI</t>
  </si>
  <si>
    <t>Art 7 - VII</t>
  </si>
  <si>
    <t>Art 7 - III y IV</t>
  </si>
  <si>
    <t>Art 8</t>
  </si>
  <si>
    <t>CEPT=0.85(PO/∑PO)+0.15(TE/∑TE)</t>
  </si>
  <si>
    <t>CEPT*42.5%</t>
  </si>
  <si>
    <t>PC*35%</t>
  </si>
  <si>
    <t>CEP= MAE1/∑MAE1</t>
  </si>
  <si>
    <t>CEG=MAE2/∑MAE2</t>
  </si>
  <si>
    <t>MONTO ESTIMADO DE GASOLINAS</t>
  </si>
  <si>
    <t>MONTO ESTIMADO DE PARTICIPACIONES</t>
  </si>
  <si>
    <t>CEPT*50%</t>
  </si>
  <si>
    <t>CIMP*25%</t>
  </si>
  <si>
    <t>CER*25%</t>
  </si>
  <si>
    <t>MONTO ESTIMADO DE PARTICIPACIÓN</t>
  </si>
  <si>
    <r>
      <t xml:space="preserve">FONDO GENERAL DE PARTICIPACIONES (FGP) </t>
    </r>
    <r>
      <rPr>
        <vertAlign val="superscript"/>
        <sz val="10"/>
        <color rgb="FFFF0000"/>
        <rFont val="Arial"/>
        <family val="2"/>
      </rPr>
      <t>a</t>
    </r>
  </si>
  <si>
    <r>
      <t xml:space="preserve">IMPUESTYO ESPECIAL SOBRE PRODUCCIÓN Y SERVICIOS (IEPS) </t>
    </r>
    <r>
      <rPr>
        <vertAlign val="superscript"/>
        <sz val="10"/>
        <color rgb="FFFF0000"/>
        <rFont val="Arial"/>
        <family val="2"/>
      </rPr>
      <t>c</t>
    </r>
  </si>
  <si>
    <r>
      <t xml:space="preserve">FONDO DE FOMENTO MUNICIPAL (FFM) </t>
    </r>
    <r>
      <rPr>
        <vertAlign val="superscript"/>
        <sz val="10"/>
        <color rgb="FFFF0000"/>
        <rFont val="Arial"/>
        <family val="2"/>
      </rPr>
      <t>b</t>
    </r>
  </si>
  <si>
    <r>
      <t xml:space="preserve">FONDO DE FISCALIZACIÓN (FOFIE) </t>
    </r>
    <r>
      <rPr>
        <vertAlign val="superscript"/>
        <sz val="10"/>
        <color rgb="FFFF0000"/>
        <rFont val="Arial"/>
        <family val="2"/>
      </rPr>
      <t>d</t>
    </r>
  </si>
  <si>
    <r>
      <t xml:space="preserve">IMPUESTO SOBRE LA VENTA FINAL DE GASOLINAS Y DIESEL </t>
    </r>
    <r>
      <rPr>
        <vertAlign val="superscript"/>
        <sz val="10"/>
        <color rgb="FFFF0000"/>
        <rFont val="Arial"/>
        <family val="2"/>
      </rPr>
      <t>e</t>
    </r>
  </si>
  <si>
    <r>
      <t xml:space="preserve">IMPUESTO SOBRE ADQUISICIÓN DE VEHÍCULOS NUEVOS (ISAN) </t>
    </r>
    <r>
      <rPr>
        <vertAlign val="superscript"/>
        <sz val="10"/>
        <color rgb="FFFF0000"/>
        <rFont val="Arial"/>
        <family val="2"/>
      </rPr>
      <t>f</t>
    </r>
  </si>
  <si>
    <r>
      <t xml:space="preserve">IMPUESTO SOBRE TENENCIA </t>
    </r>
    <r>
      <rPr>
        <vertAlign val="superscript"/>
        <sz val="10"/>
        <color rgb="FFFF0000"/>
        <rFont val="Arial"/>
        <family val="2"/>
      </rPr>
      <t>g</t>
    </r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</si>
  <si>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</si>
  <si>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PC/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PC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</si>
  <si>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</si>
  <si>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</si>
  <si>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</si>
  <si>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</si>
  <si>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r>
      <t>0.85(CS2/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CS2</t>
    </r>
    <r>
      <rPr>
        <i/>
        <sz val="8"/>
        <color rgb="FFFF0000"/>
        <rFont val="Arial"/>
        <family val="2"/>
      </rPr>
      <t>)</t>
    </r>
  </si>
  <si>
    <r>
      <t>MS/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 xml:space="preserve">MS </t>
    </r>
  </si>
  <si>
    <r>
      <t>RT/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RT</t>
    </r>
  </si>
  <si>
    <r>
      <t>0.15(MS2/</t>
    </r>
    <r>
      <rPr>
        <sz val="8"/>
        <color rgb="FFFF0000"/>
        <rFont val="Calibri"/>
        <family val="2"/>
      </rPr>
      <t>∑M</t>
    </r>
    <r>
      <rPr>
        <sz val="8"/>
        <color rgb="FFFF0000"/>
        <rFont val="Arial"/>
        <family val="2"/>
      </rPr>
      <t>S2</t>
    </r>
    <r>
      <rPr>
        <i/>
        <sz val="8"/>
        <color rgb="FFFF0000"/>
        <rFont val="Arial"/>
        <family val="2"/>
      </rPr>
      <t>)</t>
    </r>
  </si>
  <si>
    <t>FUENTE:</t>
  </si>
  <si>
    <t>POB ING &lt; A 2 SALARIOS MIN
2000</t>
  </si>
  <si>
    <t>POB 15 AÑOS O + NO SABE LEER NI ESCRIBIR 2000</t>
  </si>
  <si>
    <t>COEF POB ING &lt; A 2 SALARIOS MIN</t>
  </si>
  <si>
    <t>R1</t>
  </si>
  <si>
    <t>R2</t>
  </si>
  <si>
    <t>R3</t>
  </si>
  <si>
    <t>R4</t>
  </si>
  <si>
    <t>BR1=R1/∑R1</t>
  </si>
  <si>
    <t>BR2=R2/∑R2</t>
  </si>
  <si>
    <t>BR3=R3/∑R3</t>
  </si>
  <si>
    <t>BR4=R4/∑R4</t>
  </si>
  <si>
    <t>POB ING &lt; A 2 SALARIOS MIN
2010</t>
  </si>
  <si>
    <t>POB 15 MAS AÑOS NO SABE LEER NI ESCRIBIR
2010</t>
  </si>
  <si>
    <t xml:space="preserve">FUENTE: </t>
  </si>
  <si>
    <t>FUENTE: Censo de población y vivienda 2010, INEGI</t>
  </si>
  <si>
    <t xml:space="preserve">  Censo de población y vivienda, INEGI</t>
  </si>
  <si>
    <t>POBLACIÓN 2010</t>
  </si>
  <si>
    <t>ESTRUCTURA      %</t>
  </si>
  <si>
    <t>ESTRUCTURA     %</t>
  </si>
  <si>
    <t>COEFICIENTE  POBLACIÓN Y TERRITORIO</t>
  </si>
  <si>
    <t>POBL SIN ACCESO A DRENAJE 2000</t>
  </si>
  <si>
    <t>POB SIN ACCESO A  ELECTRICIDAD 2000</t>
  </si>
  <si>
    <t>COEFICIENTE  ÍNDICE MUNICIPAL DE POBREZA</t>
  </si>
  <si>
    <t>COEF POB 15 O + AÑOS NO SABE LEER NI ESCRIBIR</t>
  </si>
  <si>
    <t>COEF POB SIN ACCESO A  ELECTRICIDAD</t>
  </si>
  <si>
    <r>
      <t xml:space="preserve">COEF POB SIN ACCESO A  </t>
    </r>
    <r>
      <rPr>
        <b/>
        <sz val="9"/>
        <rFont val="Arial"/>
        <family val="2"/>
      </rPr>
      <t>ELECTRICIDAD</t>
    </r>
  </si>
  <si>
    <t xml:space="preserve">COEF POBL SIN ACCESO A  DRENAJE </t>
  </si>
  <si>
    <t>MEJORA SOCIAL 2010 vs 2000</t>
  </si>
  <si>
    <t>COEF POB 15  O +  AÑOS NO SABE LEER NI ESCRIBIR</t>
  </si>
  <si>
    <t xml:space="preserve">COEF POBL SIN ACCESO DRENAJE </t>
  </si>
  <si>
    <t>POB SIN ACCESO A ELECTRICIDAD
2010</t>
  </si>
  <si>
    <t>POBL SIN ACCESO A DRENAJE
2010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</si>
  <si>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</si>
  <si>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</si>
  <si>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</si>
  <si>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</si>
  <si>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</si>
  <si>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</si>
  <si>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</si>
  <si>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DISTRIBUCIÓN POR PROYECCIÓN DE POBLACIÓN</t>
  </si>
  <si>
    <t>DISTRIBUCIÓN POR COEFICIENTE REGLA I</t>
  </si>
  <si>
    <t>COEFICIENTE ESTIMADO DE PARTICIPACIÓN</t>
  </si>
  <si>
    <t>COEFICIENTE RECAUDACIÓN DE TENENCIA</t>
  </si>
  <si>
    <t>ESTRUCTURA
 %</t>
  </si>
  <si>
    <t>COEFICIENTE POBLACIÓN Y TERRITORIO</t>
  </si>
  <si>
    <r>
      <t xml:space="preserve"> </t>
    </r>
    <r>
      <rPr>
        <b/>
        <sz val="14"/>
        <rFont val="Arial"/>
        <family val="2"/>
      </rPr>
      <t>TENENCIA</t>
    </r>
  </si>
  <si>
    <t xml:space="preserve">ÍNDICE MUNICIPAL DE POBREZA </t>
  </si>
  <si>
    <t>ÍNDICE MUNICIPAL DE POBREZA</t>
  </si>
  <si>
    <t>DISTRIBUCIÓN POR RECAUDACIÓN DE TENENCIA</t>
  </si>
  <si>
    <t>DISTRIBUCIÓN POR POBLACIÓN Y TERRITORIO</t>
  </si>
  <si>
    <t xml:space="preserve">DISTRIBUCIÓN POR ÍNDICE DE POBREZA </t>
  </si>
  <si>
    <t>DISTRIBUCIÓN POR ÍNDICE DE POBREZA</t>
  </si>
  <si>
    <t>DISTRIBUCIÓN POR EFECTIVIDAD RECAUDACIÓN  PREDIAL</t>
  </si>
  <si>
    <t xml:space="preserve">POBLACIÓN </t>
  </si>
  <si>
    <t>REGLA I</t>
  </si>
  <si>
    <t>Art 7 - II y III</t>
  </si>
  <si>
    <t>PROYECCIÓN DE POBLACIÓN</t>
  </si>
  <si>
    <t>$</t>
  </si>
  <si>
    <t>%</t>
  </si>
  <si>
    <t>MAE2=(PI*35%)+(PC*35%)+(CD*30%)</t>
  </si>
  <si>
    <t>MAE1=(CEPT*50%)+(CIMP*25%)+(CER*25%)</t>
  </si>
  <si>
    <t>FGP</t>
  </si>
  <si>
    <t>FFM</t>
  </si>
  <si>
    <t>IEPS</t>
  </si>
  <si>
    <t>FOFIE</t>
  </si>
  <si>
    <t>ISAN</t>
  </si>
  <si>
    <t>TENENCIA</t>
  </si>
  <si>
    <t>GASOLINAS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</si>
  <si>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</si>
  <si>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</si>
  <si>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</si>
  <si>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</si>
  <si>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</si>
  <si>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</si>
  <si>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</si>
  <si>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</si>
  <si>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</si>
  <si>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</si>
  <si>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</si>
  <si>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</si>
  <si>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 SEM
JUL-DIC</t>
  </si>
  <si>
    <t>1 SEM
ENE-JUN</t>
  </si>
  <si>
    <t>OBSERVADO + ESTIMACIÓN</t>
  </si>
  <si>
    <t>FONDO</t>
  </si>
  <si>
    <t>RECIBIDAS + ESTIMADAS</t>
  </si>
  <si>
    <t>Los montos incluyen ajustes y recursos del FEIEF en su caso</t>
  </si>
  <si>
    <t>ENE-JUN</t>
  </si>
  <si>
    <t>ENE-DIC</t>
  </si>
  <si>
    <t>ESTIMACIÓN</t>
  </si>
  <si>
    <t>CER*30%</t>
  </si>
  <si>
    <t>CIMP*27.5%</t>
  </si>
  <si>
    <t>MAE1=(CEPT*42.5%)+(CIMP*27.5%)+(CER*30%)</t>
  </si>
  <si>
    <t xml:space="preserve">  Proyecciones de la Población 2010-2030, CONSEJO NACIONAL DE POBLACIÓN</t>
  </si>
  <si>
    <t>PARTICIPACIONES FEDERALES Y ESTATAL</t>
  </si>
  <si>
    <t>FOFIR</t>
  </si>
  <si>
    <t>RECAUDACIÓN TENENCIA 2013</t>
  </si>
  <si>
    <t xml:space="preserve">  Recaudación de tenencia 2013, DIRECCION DE CONTABILIDAD</t>
  </si>
  <si>
    <t>Facturación 2013
(2009-2013)</t>
  </si>
  <si>
    <t>Recaudación 2013</t>
  </si>
  <si>
    <t>PARTICIPACIONES RECIBIDAS Y ESTIMADAS DEL PEF PARA 2015</t>
  </si>
  <si>
    <t>RECIBIDAS 2015</t>
  </si>
  <si>
    <t>ESTIMADAS EN PEF 2015</t>
  </si>
  <si>
    <t>DETERMINACIÓN PRELIMINAR DE LOS COEFICIENTES DE PARTICIPACIÓN DE RECURSOS A MUNICIPIOS POR VARIABLE (REGLA I ARTÍCULO 4 LEENL 2015)</t>
  </si>
  <si>
    <t>DETERMINACIÓN PRELIMINAR DE LOS COEFICIENTES DE PARTICIPACIÓN DE RECURSOS A MUNICIPIOS POR VARIABLE (REGLA II ARTÍCULO 4 LEENL 2015)</t>
  </si>
  <si>
    <t>PROYECCIÓN DE POBLACIÓN 2014</t>
  </si>
  <si>
    <t>POBLACIÓN  2010</t>
  </si>
  <si>
    <t>DETERMINACIÓN PRELIMINAR DE LOS COEFICIENTES DE PARTICIPACIÓN DE RECURSOS A MUNICIPIOS POR VARIABLE (ARTÍCULO 5 LEENL 2015)</t>
  </si>
  <si>
    <t>PARTICIPACIONES PAGADAS 2014</t>
  </si>
  <si>
    <t xml:space="preserve">PARTICIPACIONES PAGADAS 2014 MÁS INFLACIÓN* </t>
  </si>
  <si>
    <t>PARTICIPACIONES ESTIMADAS 2015</t>
  </si>
  <si>
    <t xml:space="preserve"> DIFERENCIA ENTRE PARTICIPACIONES ESTIMADAS 2015 MENOS PARTICIPACIONES 2014 MÁS INFLACIÓN</t>
  </si>
  <si>
    <t xml:space="preserve">MONTOS 2014 MÁS INFLACIÓN DE MUNICIPIOS CON PARTICIPACIÓN  INFERIOR EN 2015
</t>
  </si>
  <si>
    <t>MONTO NECESARIO PARA ALCANZAR 2014 MÁS INFLACIÓN
"COMPENSACIÓN"</t>
  </si>
  <si>
    <t>MONTOS 2015 DE MUNICIPIOS CON PARTICIPACIÓN SUPERIOR A 2014 MÁS INFLACIÓN</t>
  </si>
  <si>
    <t>MONTO 2015 POR ENCIMA DE 2014 MÁS INFLACIÓN</t>
  </si>
  <si>
    <t>MONTO A DISMINUIR EN MUNICIPIOS CON CRECIMIENTO SUPERIOR A 2014 MÁS INFLACIÓN</t>
  </si>
  <si>
    <t>MONTO A DISTRIBUIR EN 2015 PARA GARANTIZAR AL MENOS EL PAGO DE 2014 MÁS INFLACIÓN</t>
  </si>
  <si>
    <t>DETERMINACIÓN INCREMENTO 2015 vs PAGO 2014 MÁS INFLACIÓN</t>
  </si>
  <si>
    <t>*4.08% INFLACIÓN ANUAL 2013. (INEGI)</t>
  </si>
  <si>
    <t>El monto del FGP corresponde a la estimación para el ejercicio 2015 de acuerdo al Presupuesto de Egresos de la Federación y según el calendario y distribución a las entidades publicada mediante Acuerdo del 23 de diciembre de 2014.</t>
  </si>
  <si>
    <t>El monto del IEPS corresponde a la estimación para el ejercicio 2015 de acuerdo al Presupuesto de Egresos de la Federación y según el calendario y distribución a las entidades publicada mediante Acuerdo del 23 de diciembre de 2014.</t>
  </si>
  <si>
    <t>El monto del FOFIE corresponde a la estimación para el ejercicio 2015 de acuerdo al Presupuesto de Egresos de la Federación y según el calendario y distribución a las entidades publicada mediante Acuerdo del 23 de diciembre de 2014.</t>
  </si>
  <si>
    <t>El monto del Impto. a la Venta Final de Gasolinas y Diesel corresponde a la estimación para el ejercicio 2013 de acuerdo al Presupuesto de Egresos de la Federación y según el calendario y distribución a las entidades publicada mediante Acuerdo del 23 de diciembre de 2014.</t>
  </si>
  <si>
    <t>El monto del ISAN incluye la compensación de ISAN y corresponde a la estimación para el ejercicio 2015 de acuerdo al Presupuesto de Egresos de la Federación según el calendario y distribución a las entidades publicada mediante Acuerdo del 23 de diciembre de 2014.</t>
  </si>
  <si>
    <t>El monto del FFM corresponde a la estimación para el ejercicio 2015 de acuerdo al Presupuesto de Egresos de la Federación y según el calendario y distribución a las entidades publicada mediante Acuerdo del 23 de diciembre de 2014.</t>
  </si>
  <si>
    <t>El monto del Impuesto sobre Tenencia corresponde a la estimación de la recaudación de acuerdo a la Ley de Egresos del Estado de Nuevo León publicada el 29 de diciembre de 2014</t>
  </si>
  <si>
    <t>DETERMINACIÓN  DEL  COEFICIENTE DEFINITIVO DE PARTICIPACIÓN DE RECURSOS A MUNICIPIOS PARA 2015
 (ARTÍCULO 7 LEENL 2015)</t>
  </si>
  <si>
    <t>COEFICIENTE DEFINITIVO 2015</t>
  </si>
  <si>
    <t>ESTIMACIÓN DE PARTICIPACIONES Y DISTRIBUCIÓN A MUNICPIOS SEGÚN LA LEY DE EGRESOS DEL ESTADO DE NUEVO LEÓN 2015</t>
  </si>
  <si>
    <t>* 3.09%DE CRECIMIENTO DE ESTIMACIÓN RESPECTO DEL 2014</t>
  </si>
</sst>
</file>

<file path=xl/styles.xml><?xml version="1.0" encoding="utf-8"?>
<styleSheet xmlns="http://schemas.openxmlformats.org/spreadsheetml/2006/main">
  <numFmts count="2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0.000000%"/>
    <numFmt numFmtId="168" formatCode="0.000000000000%"/>
    <numFmt numFmtId="169" formatCode="#,##0\ &quot;$&quot;;[Red]\-#,##0\ &quot;$&quot;"/>
    <numFmt numFmtId="170" formatCode="&quot;$&quot;\ #,##0.00"/>
    <numFmt numFmtId="171" formatCode="\U\ #,##0.00"/>
    <numFmt numFmtId="172" formatCode="#,##0.000;\-#,##0.000"/>
    <numFmt numFmtId="173" formatCode="#,##0.0000000;\-#,##0.0000000"/>
    <numFmt numFmtId="174" formatCode="_(* #,##0.000000_);_(* \(#,##0.000000\);_(* &quot;-&quot;??_);_(@_)"/>
    <numFmt numFmtId="175" formatCode="0.00000000%"/>
    <numFmt numFmtId="176" formatCode="0.0%"/>
    <numFmt numFmtId="177" formatCode="_(* #,##0.00000000_);_(* \(#,##0.00000000\);_(* &quot;-&quot;??_);_(@_)"/>
    <numFmt numFmtId="178" formatCode="0.000000"/>
    <numFmt numFmtId="179" formatCode="0.00000000"/>
    <numFmt numFmtId="180" formatCode="#,##0.00000000;\-#,##0.00000000"/>
    <numFmt numFmtId="181" formatCode="0.0000000000"/>
    <numFmt numFmtId="182" formatCode="0.000000000"/>
    <numFmt numFmtId="183" formatCode="0.0000"/>
    <numFmt numFmtId="184" formatCode="#,##0.0000;\-#,##0.0000"/>
    <numFmt numFmtId="186" formatCode="#,##0.00000;\-#,##0.00000"/>
    <numFmt numFmtId="187" formatCode="#,##0.00000000000;\-#,##0.00000000000"/>
  </numFmts>
  <fonts count="55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1"/>
      <name val="MS Sans Serif"/>
      <family val="2"/>
    </font>
    <font>
      <sz val="12"/>
      <name val="MS Sans Serif"/>
      <family val="2"/>
    </font>
    <font>
      <sz val="12"/>
      <name val="Arial"/>
      <family val="2"/>
    </font>
    <font>
      <sz val="11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MS Sans Serif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9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9" fontId="1" fillId="0" borderId="0" applyFont="0" applyFill="0" applyBorder="0" applyAlignment="0" applyProtection="0"/>
    <xf numFmtId="0" fontId="19" fillId="3" borderId="0" applyNumberFormat="0" applyBorder="0" applyAlignment="0" applyProtection="0"/>
    <xf numFmtId="164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30" fillId="0" borderId="0"/>
    <xf numFmtId="0" fontId="3" fillId="0" borderId="0"/>
    <xf numFmtId="37" fontId="2" fillId="0" borderId="0"/>
    <xf numFmtId="0" fontId="11" fillId="23" borderId="4" applyNumberFormat="0" applyFont="0" applyAlignment="0" applyProtection="0"/>
    <xf numFmtId="170" fontId="3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171" fontId="4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7">
    <xf numFmtId="0" fontId="0" fillId="0" borderId="0" xfId="0"/>
    <xf numFmtId="37" fontId="2" fillId="0" borderId="0" xfId="37" applyFont="1" applyProtection="1">
      <protection hidden="1"/>
    </xf>
    <xf numFmtId="37" fontId="9" fillId="0" borderId="0" xfId="37" applyFont="1" applyBorder="1" applyAlignment="1" applyProtection="1">
      <alignment horizontal="center" vertical="center" wrapText="1"/>
      <protection hidden="1"/>
    </xf>
    <xf numFmtId="37" fontId="8" fillId="0" borderId="0" xfId="37" applyFont="1" applyBorder="1" applyAlignment="1" applyProtection="1">
      <alignment horizontal="center" vertical="center" wrapText="1"/>
      <protection hidden="1"/>
    </xf>
    <xf numFmtId="37" fontId="31" fillId="0" borderId="0" xfId="37" applyFont="1" applyBorder="1" applyAlignment="1" applyProtection="1">
      <alignment horizontal="center" vertical="center" wrapText="1"/>
      <protection hidden="1"/>
    </xf>
    <xf numFmtId="37" fontId="1" fillId="0" borderId="11" xfId="37" applyFont="1" applyFill="1" applyBorder="1" applyAlignment="1" applyProtection="1">
      <alignment horizontal="left"/>
      <protection hidden="1"/>
    </xf>
    <xf numFmtId="37" fontId="1" fillId="0" borderId="20" xfId="37" applyFont="1" applyFill="1" applyBorder="1" applyAlignment="1" applyProtection="1">
      <alignment horizontal="right"/>
      <protection hidden="1"/>
    </xf>
    <xf numFmtId="37" fontId="1" fillId="0" borderId="12" xfId="37" applyFont="1" applyFill="1" applyBorder="1" applyAlignment="1" applyProtection="1">
      <alignment horizontal="left"/>
      <protection hidden="1"/>
    </xf>
    <xf numFmtId="37" fontId="1" fillId="0" borderId="23" xfId="37" applyFont="1" applyFill="1" applyBorder="1" applyAlignment="1" applyProtection="1">
      <alignment horizontal="right"/>
      <protection hidden="1"/>
    </xf>
    <xf numFmtId="37" fontId="2" fillId="0" borderId="0" xfId="37" applyFont="1" applyFill="1" applyProtection="1">
      <protection hidden="1"/>
    </xf>
    <xf numFmtId="37" fontId="2" fillId="0" borderId="0" xfId="37" applyFont="1" applyBorder="1" applyProtection="1">
      <protection hidden="1"/>
    </xf>
    <xf numFmtId="37" fontId="6" fillId="0" borderId="13" xfId="37" applyFont="1" applyFill="1" applyBorder="1" applyAlignment="1" applyProtection="1">
      <alignment horizontal="left"/>
      <protection hidden="1"/>
    </xf>
    <xf numFmtId="37" fontId="6" fillId="0" borderId="14" xfId="37" applyFont="1" applyFill="1" applyBorder="1" applyAlignment="1" applyProtection="1">
      <alignment horizontal="right"/>
      <protection hidden="1"/>
    </xf>
    <xf numFmtId="37" fontId="6" fillId="24" borderId="14" xfId="37" applyFont="1" applyFill="1" applyBorder="1" applyAlignment="1" applyProtection="1">
      <alignment horizontal="right"/>
      <protection hidden="1"/>
    </xf>
    <xf numFmtId="37" fontId="5" fillId="0" borderId="0" xfId="37" applyFont="1" applyProtection="1">
      <protection hidden="1"/>
    </xf>
    <xf numFmtId="2" fontId="5" fillId="0" borderId="0" xfId="33" applyNumberFormat="1" applyFont="1" applyFill="1" applyBorder="1" applyProtection="1">
      <protection hidden="1"/>
    </xf>
    <xf numFmtId="164" fontId="2" fillId="0" borderId="0" xfId="33" applyFont="1" applyBorder="1" applyProtection="1">
      <protection hidden="1"/>
    </xf>
    <xf numFmtId="167" fontId="10" fillId="0" borderId="0" xfId="40" applyNumberFormat="1" applyFont="1" applyBorder="1" applyProtection="1">
      <protection hidden="1"/>
    </xf>
    <xf numFmtId="172" fontId="2" fillId="0" borderId="0" xfId="37" applyNumberFormat="1" applyFont="1" applyProtection="1">
      <protection hidden="1"/>
    </xf>
    <xf numFmtId="167" fontId="10" fillId="0" borderId="0" xfId="40" applyNumberFormat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6" fillId="26" borderId="3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26" borderId="37" xfId="0" applyFont="1" applyFill="1" applyBorder="1" applyAlignment="1" applyProtection="1">
      <alignment horizontal="center"/>
      <protection hidden="1"/>
    </xf>
    <xf numFmtId="176" fontId="6" fillId="26" borderId="36" xfId="40" applyNumberFormat="1" applyFont="1" applyFill="1" applyBorder="1" applyAlignment="1" applyProtection="1">
      <alignment horizontal="center"/>
      <protection hidden="1"/>
    </xf>
    <xf numFmtId="9" fontId="6" fillId="26" borderId="36" xfId="40" applyNumberFormat="1" applyFont="1" applyFill="1" applyBorder="1" applyAlignment="1" applyProtection="1">
      <alignment horizontal="center"/>
      <protection hidden="1"/>
    </xf>
    <xf numFmtId="0" fontId="0" fillId="26" borderId="31" xfId="0" applyFill="1" applyBorder="1" applyProtection="1">
      <protection hidden="1"/>
    </xf>
    <xf numFmtId="0" fontId="0" fillId="26" borderId="0" xfId="0" applyFill="1" applyBorder="1" applyProtection="1">
      <protection hidden="1"/>
    </xf>
    <xf numFmtId="0" fontId="0" fillId="26" borderId="32" xfId="0" applyFill="1" applyBorder="1" applyProtection="1">
      <protection hidden="1"/>
    </xf>
    <xf numFmtId="0" fontId="1" fillId="0" borderId="31" xfId="0" applyFont="1" applyFill="1" applyBorder="1" applyProtection="1">
      <protection hidden="1"/>
    </xf>
    <xf numFmtId="165" fontId="6" fillId="0" borderId="32" xfId="33" applyNumberFormat="1" applyFont="1" applyFill="1" applyBorder="1" applyProtection="1">
      <protection hidden="1"/>
    </xf>
    <xf numFmtId="165" fontId="0" fillId="0" borderId="31" xfId="33" applyNumberFormat="1" applyFont="1" applyFill="1" applyBorder="1" applyProtection="1">
      <protection hidden="1"/>
    </xf>
    <xf numFmtId="165" fontId="0" fillId="0" borderId="0" xfId="33" applyNumberFormat="1" applyFont="1" applyFill="1" applyBorder="1" applyProtection="1">
      <protection hidden="1"/>
    </xf>
    <xf numFmtId="165" fontId="0" fillId="0" borderId="32" xfId="33" applyNumberFormat="1" applyFont="1" applyFill="1" applyBorder="1" applyProtection="1">
      <protection hidden="1"/>
    </xf>
    <xf numFmtId="165" fontId="0" fillId="26" borderId="31" xfId="33" applyNumberFormat="1" applyFont="1" applyFill="1" applyBorder="1" applyProtection="1">
      <protection hidden="1"/>
    </xf>
    <xf numFmtId="165" fontId="0" fillId="26" borderId="0" xfId="33" applyNumberFormat="1" applyFont="1" applyFill="1" applyBorder="1" applyProtection="1">
      <protection hidden="1"/>
    </xf>
    <xf numFmtId="165" fontId="0" fillId="26" borderId="32" xfId="33" applyNumberFormat="1" applyFont="1" applyFill="1" applyBorder="1" applyProtection="1">
      <protection hidden="1"/>
    </xf>
    <xf numFmtId="165" fontId="6" fillId="26" borderId="32" xfId="33" applyNumberFormat="1" applyFont="1" applyFill="1" applyBorder="1" applyProtection="1">
      <protection hidden="1"/>
    </xf>
    <xf numFmtId="0" fontId="1" fillId="0" borderId="33" xfId="0" applyFont="1" applyFill="1" applyBorder="1" applyProtection="1">
      <protection hidden="1"/>
    </xf>
    <xf numFmtId="165" fontId="6" fillId="0" borderId="35" xfId="33" applyNumberFormat="1" applyFont="1" applyFill="1" applyBorder="1" applyProtection="1">
      <protection hidden="1"/>
    </xf>
    <xf numFmtId="165" fontId="0" fillId="27" borderId="33" xfId="33" applyNumberFormat="1" applyFont="1" applyFill="1" applyBorder="1" applyProtection="1">
      <protection hidden="1"/>
    </xf>
    <xf numFmtId="165" fontId="0" fillId="27" borderId="34" xfId="33" applyNumberFormat="1" applyFont="1" applyFill="1" applyBorder="1" applyProtection="1">
      <protection hidden="1"/>
    </xf>
    <xf numFmtId="165" fontId="0" fillId="27" borderId="35" xfId="33" applyNumberFormat="1" applyFont="1" applyFill="1" applyBorder="1" applyProtection="1">
      <protection hidden="1"/>
    </xf>
    <xf numFmtId="165" fontId="0" fillId="0" borderId="33" xfId="33" applyNumberFormat="1" applyFont="1" applyFill="1" applyBorder="1" applyProtection="1">
      <protection hidden="1"/>
    </xf>
    <xf numFmtId="165" fontId="0" fillId="0" borderId="34" xfId="33" applyNumberFormat="1" applyFont="1" applyFill="1" applyBorder="1" applyProtection="1">
      <protection hidden="1"/>
    </xf>
    <xf numFmtId="165" fontId="0" fillId="0" borderId="35" xfId="33" applyNumberFormat="1" applyFont="1" applyFill="1" applyBorder="1" applyProtection="1">
      <protection hidden="1"/>
    </xf>
    <xf numFmtId="165" fontId="6" fillId="0" borderId="0" xfId="0" applyNumberFormat="1" applyFont="1" applyProtection="1">
      <protection hidden="1"/>
    </xf>
    <xf numFmtId="37" fontId="6" fillId="0" borderId="10" xfId="37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9" fontId="6" fillId="0" borderId="10" xfId="40" applyFont="1" applyFill="1" applyBorder="1" applyAlignment="1" applyProtection="1">
      <alignment horizontal="center" vertical="center" wrapText="1"/>
      <protection hidden="1"/>
    </xf>
    <xf numFmtId="179" fontId="6" fillId="28" borderId="10" xfId="0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Protection="1">
      <protection hidden="1"/>
    </xf>
    <xf numFmtId="9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10" xfId="40" applyNumberFormat="1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Protection="1">
      <protection hidden="1"/>
    </xf>
    <xf numFmtId="37" fontId="33" fillId="0" borderId="0" xfId="37" applyFont="1" applyAlignment="1" applyProtection="1">
      <alignment horizontal="center" vertical="center"/>
      <protection hidden="1"/>
    </xf>
    <xf numFmtId="37" fontId="33" fillId="0" borderId="0" xfId="37" applyFont="1" applyFill="1" applyProtection="1">
      <protection hidden="1"/>
    </xf>
    <xf numFmtId="37" fontId="33" fillId="0" borderId="0" xfId="37" applyFont="1" applyProtection="1">
      <protection hidden="1"/>
    </xf>
    <xf numFmtId="37" fontId="40" fillId="0" borderId="0" xfId="37" applyFont="1" applyFill="1" applyBorder="1" applyAlignment="1" applyProtection="1">
      <alignment horizontal="center" vertical="center" wrapText="1"/>
      <protection hidden="1"/>
    </xf>
    <xf numFmtId="37" fontId="40" fillId="0" borderId="0" xfId="37" applyFont="1" applyFill="1" applyProtection="1">
      <protection hidden="1"/>
    </xf>
    <xf numFmtId="178" fontId="40" fillId="0" borderId="0" xfId="37" applyNumberFormat="1" applyFont="1" applyFill="1" applyProtection="1">
      <protection hidden="1"/>
    </xf>
    <xf numFmtId="179" fontId="41" fillId="0" borderId="0" xfId="0" applyNumberFormat="1" applyFont="1" applyFill="1" applyAlignment="1" applyProtection="1">
      <alignment horizontal="center" vertical="center" wrapText="1"/>
      <protection hidden="1"/>
    </xf>
    <xf numFmtId="178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center" vertical="center" wrapText="1"/>
      <protection hidden="1"/>
    </xf>
    <xf numFmtId="37" fontId="33" fillId="0" borderId="0" xfId="37" applyFont="1" applyAlignment="1" applyProtection="1">
      <alignment horizontal="center" vertical="center" wrapText="1"/>
      <protection hidden="1"/>
    </xf>
    <xf numFmtId="37" fontId="40" fillId="0" borderId="0" xfId="37" applyFont="1" applyProtection="1">
      <protection hidden="1"/>
    </xf>
    <xf numFmtId="3" fontId="32" fillId="0" borderId="20" xfId="0" applyNumberFormat="1" applyFont="1" applyBorder="1" applyProtection="1">
      <protection hidden="1"/>
    </xf>
    <xf numFmtId="175" fontId="1" fillId="0" borderId="20" xfId="40" applyNumberFormat="1" applyFont="1" applyFill="1" applyBorder="1" applyProtection="1">
      <protection hidden="1"/>
    </xf>
    <xf numFmtId="178" fontId="1" fillId="0" borderId="20" xfId="40" applyNumberFormat="1" applyFont="1" applyFill="1" applyBorder="1" applyProtection="1">
      <protection hidden="1"/>
    </xf>
    <xf numFmtId="165" fontId="1" fillId="0" borderId="20" xfId="33" applyNumberFormat="1" applyFont="1" applyFill="1" applyBorder="1" applyProtection="1">
      <protection hidden="1"/>
    </xf>
    <xf numFmtId="178" fontId="1" fillId="0" borderId="27" xfId="40" applyNumberFormat="1" applyFont="1" applyFill="1" applyBorder="1" applyProtection="1">
      <protection hidden="1"/>
    </xf>
    <xf numFmtId="179" fontId="1" fillId="28" borderId="21" xfId="40" applyNumberFormat="1" applyFont="1" applyFill="1" applyBorder="1" applyProtection="1">
      <protection hidden="1"/>
    </xf>
    <xf numFmtId="37" fontId="1" fillId="0" borderId="11" xfId="37" applyFont="1" applyFill="1" applyBorder="1" applyAlignment="1" applyProtection="1">
      <protection hidden="1"/>
    </xf>
    <xf numFmtId="37" fontId="1" fillId="0" borderId="20" xfId="37" applyFont="1" applyFill="1" applyBorder="1" applyAlignment="1" applyProtection="1">
      <protection hidden="1"/>
    </xf>
    <xf numFmtId="180" fontId="1" fillId="0" borderId="20" xfId="37" applyNumberFormat="1" applyFont="1" applyFill="1" applyBorder="1" applyAlignment="1" applyProtection="1">
      <protection hidden="1"/>
    </xf>
    <xf numFmtId="175" fontId="32" fillId="0" borderId="20" xfId="40" applyNumberFormat="1" applyFont="1" applyBorder="1" applyProtection="1">
      <protection hidden="1"/>
    </xf>
    <xf numFmtId="1" fontId="43" fillId="0" borderId="20" xfId="40" applyNumberFormat="1" applyFont="1" applyBorder="1" applyProtection="1">
      <protection hidden="1"/>
    </xf>
    <xf numFmtId="180" fontId="1" fillId="0" borderId="22" xfId="37" applyNumberFormat="1" applyFont="1" applyFill="1" applyBorder="1" applyAlignment="1" applyProtection="1">
      <protection hidden="1"/>
    </xf>
    <xf numFmtId="178" fontId="32" fillId="0" borderId="20" xfId="40" applyNumberFormat="1" applyFont="1" applyBorder="1" applyProtection="1">
      <protection hidden="1"/>
    </xf>
    <xf numFmtId="174" fontId="1" fillId="0" borderId="20" xfId="33" applyNumberFormat="1" applyFont="1" applyFill="1" applyBorder="1" applyProtection="1">
      <protection hidden="1"/>
    </xf>
    <xf numFmtId="165" fontId="1" fillId="0" borderId="27" xfId="33" applyNumberFormat="1" applyFont="1" applyFill="1" applyBorder="1" applyProtection="1">
      <protection hidden="1"/>
    </xf>
    <xf numFmtId="37" fontId="1" fillId="0" borderId="11" xfId="37" applyFont="1" applyBorder="1" applyProtection="1">
      <protection hidden="1"/>
    </xf>
    <xf numFmtId="37" fontId="1" fillId="0" borderId="20" xfId="37" applyFont="1" applyBorder="1" applyProtection="1">
      <protection hidden="1"/>
    </xf>
    <xf numFmtId="179" fontId="1" fillId="0" borderId="21" xfId="40" applyNumberFormat="1" applyFont="1" applyBorder="1" applyProtection="1">
      <protection hidden="1"/>
    </xf>
    <xf numFmtId="3" fontId="32" fillId="0" borderId="23" xfId="0" applyNumberFormat="1" applyFont="1" applyBorder="1" applyProtection="1">
      <protection hidden="1"/>
    </xf>
    <xf numFmtId="175" fontId="1" fillId="0" borderId="23" xfId="40" applyNumberFormat="1" applyFont="1" applyFill="1" applyBorder="1" applyProtection="1">
      <protection hidden="1"/>
    </xf>
    <xf numFmtId="178" fontId="1" fillId="0" borderId="23" xfId="40" applyNumberFormat="1" applyFont="1" applyFill="1" applyBorder="1" applyProtection="1">
      <protection hidden="1"/>
    </xf>
    <xf numFmtId="165" fontId="1" fillId="0" borderId="23" xfId="33" applyNumberFormat="1" applyFont="1" applyFill="1" applyBorder="1" applyProtection="1">
      <protection hidden="1"/>
    </xf>
    <xf numFmtId="178" fontId="1" fillId="0" borderId="28" xfId="40" applyNumberFormat="1" applyFont="1" applyFill="1" applyBorder="1" applyProtection="1">
      <protection hidden="1"/>
    </xf>
    <xf numFmtId="179" fontId="1" fillId="28" borderId="19" xfId="40" applyNumberFormat="1" applyFont="1" applyFill="1" applyBorder="1" applyProtection="1">
      <protection hidden="1"/>
    </xf>
    <xf numFmtId="37" fontId="1" fillId="0" borderId="12" xfId="37" applyFont="1" applyFill="1" applyBorder="1" applyAlignment="1" applyProtection="1">
      <protection hidden="1"/>
    </xf>
    <xf numFmtId="37" fontId="1" fillId="0" borderId="23" xfId="37" applyFont="1" applyFill="1" applyBorder="1" applyAlignment="1" applyProtection="1">
      <protection hidden="1"/>
    </xf>
    <xf numFmtId="180" fontId="1" fillId="0" borderId="23" xfId="37" applyNumberFormat="1" applyFont="1" applyFill="1" applyBorder="1" applyAlignment="1" applyProtection="1">
      <protection hidden="1"/>
    </xf>
    <xf numFmtId="175" fontId="32" fillId="0" borderId="23" xfId="40" applyNumberFormat="1" applyFont="1" applyBorder="1" applyProtection="1">
      <protection hidden="1"/>
    </xf>
    <xf numFmtId="1" fontId="43" fillId="0" borderId="23" xfId="40" applyNumberFormat="1" applyFont="1" applyBorder="1" applyProtection="1">
      <protection hidden="1"/>
    </xf>
    <xf numFmtId="180" fontId="1" fillId="0" borderId="24" xfId="37" applyNumberFormat="1" applyFont="1" applyFill="1" applyBorder="1" applyAlignment="1" applyProtection="1">
      <protection hidden="1"/>
    </xf>
    <xf numFmtId="178" fontId="32" fillId="0" borderId="23" xfId="40" applyNumberFormat="1" applyFont="1" applyBorder="1" applyProtection="1">
      <protection hidden="1"/>
    </xf>
    <xf numFmtId="174" fontId="1" fillId="0" borderId="23" xfId="33" applyNumberFormat="1" applyFont="1" applyFill="1" applyBorder="1" applyProtection="1">
      <protection hidden="1"/>
    </xf>
    <xf numFmtId="165" fontId="1" fillId="0" borderId="28" xfId="33" applyNumberFormat="1" applyFont="1" applyFill="1" applyBorder="1" applyProtection="1">
      <protection hidden="1"/>
    </xf>
    <xf numFmtId="37" fontId="1" fillId="0" borderId="12" xfId="37" applyFont="1" applyBorder="1" applyProtection="1">
      <protection hidden="1"/>
    </xf>
    <xf numFmtId="37" fontId="1" fillId="0" borderId="23" xfId="37" applyFont="1" applyBorder="1" applyProtection="1">
      <protection hidden="1"/>
    </xf>
    <xf numFmtId="179" fontId="1" fillId="0" borderId="19" xfId="40" applyNumberFormat="1" applyFont="1" applyBorder="1" applyProtection="1">
      <protection hidden="1"/>
    </xf>
    <xf numFmtId="3" fontId="36" fillId="0" borderId="14" xfId="0" applyNumberFormat="1" applyFont="1" applyBorder="1" applyProtection="1">
      <protection hidden="1"/>
    </xf>
    <xf numFmtId="175" fontId="6" fillId="0" borderId="14" xfId="40" applyNumberFormat="1" applyFont="1" applyFill="1" applyBorder="1" applyProtection="1">
      <protection hidden="1"/>
    </xf>
    <xf numFmtId="178" fontId="6" fillId="0" borderId="14" xfId="40" applyNumberFormat="1" applyFont="1" applyFill="1" applyBorder="1" applyProtection="1">
      <protection hidden="1"/>
    </xf>
    <xf numFmtId="165" fontId="6" fillId="0" borderId="14" xfId="33" applyNumberFormat="1" applyFont="1" applyFill="1" applyBorder="1" applyProtection="1">
      <protection hidden="1"/>
    </xf>
    <xf numFmtId="178" fontId="6" fillId="0" borderId="26" xfId="40" applyNumberFormat="1" applyFont="1" applyFill="1" applyBorder="1" applyProtection="1">
      <protection hidden="1"/>
    </xf>
    <xf numFmtId="179" fontId="6" fillId="28" borderId="15" xfId="40" applyNumberFormat="1" applyFont="1" applyFill="1" applyBorder="1" applyProtection="1">
      <protection hidden="1"/>
    </xf>
    <xf numFmtId="37" fontId="42" fillId="0" borderId="13" xfId="37" applyFont="1" applyFill="1" applyBorder="1" applyAlignment="1" applyProtection="1">
      <protection hidden="1"/>
    </xf>
    <xf numFmtId="37" fontId="42" fillId="0" borderId="14" xfId="37" applyFont="1" applyFill="1" applyBorder="1" applyAlignment="1" applyProtection="1">
      <protection hidden="1"/>
    </xf>
    <xf numFmtId="173" fontId="42" fillId="0" borderId="14" xfId="37" applyNumberFormat="1" applyFont="1" applyFill="1" applyBorder="1" applyAlignment="1" applyProtection="1">
      <protection hidden="1"/>
    </xf>
    <xf numFmtId="175" fontId="36" fillId="0" borderId="14" xfId="40" applyNumberFormat="1" applyFont="1" applyBorder="1" applyProtection="1">
      <protection hidden="1"/>
    </xf>
    <xf numFmtId="1" fontId="44" fillId="0" borderId="14" xfId="40" applyNumberFormat="1" applyFont="1" applyBorder="1" applyProtection="1">
      <protection hidden="1"/>
    </xf>
    <xf numFmtId="173" fontId="42" fillId="0" borderId="25" xfId="37" applyNumberFormat="1" applyFont="1" applyFill="1" applyBorder="1" applyAlignment="1" applyProtection="1">
      <protection hidden="1"/>
    </xf>
    <xf numFmtId="178" fontId="36" fillId="0" borderId="14" xfId="40" applyNumberFormat="1" applyFont="1" applyBorder="1" applyProtection="1">
      <protection hidden="1"/>
    </xf>
    <xf numFmtId="168" fontId="6" fillId="0" borderId="14" xfId="40" applyNumberFormat="1" applyFont="1" applyFill="1" applyBorder="1" applyProtection="1">
      <protection hidden="1"/>
    </xf>
    <xf numFmtId="178" fontId="6" fillId="0" borderId="14" xfId="33" applyNumberFormat="1" applyFont="1" applyFill="1" applyBorder="1" applyProtection="1">
      <protection hidden="1"/>
    </xf>
    <xf numFmtId="165" fontId="36" fillId="0" borderId="14" xfId="33" applyNumberFormat="1" applyFont="1" applyBorder="1" applyProtection="1">
      <protection hidden="1"/>
    </xf>
    <xf numFmtId="174" fontId="6" fillId="0" borderId="14" xfId="33" applyNumberFormat="1" applyFont="1" applyFill="1" applyBorder="1" applyProtection="1">
      <protection hidden="1"/>
    </xf>
    <xf numFmtId="165" fontId="6" fillId="0" borderId="26" xfId="40" applyNumberFormat="1" applyFont="1" applyFill="1" applyBorder="1" applyProtection="1">
      <protection hidden="1"/>
    </xf>
    <xf numFmtId="37" fontId="6" fillId="0" borderId="13" xfId="37" applyFont="1" applyBorder="1" applyProtection="1">
      <protection hidden="1"/>
    </xf>
    <xf numFmtId="37" fontId="6" fillId="0" borderId="14" xfId="37" applyFont="1" applyBorder="1" applyProtection="1">
      <protection hidden="1"/>
    </xf>
    <xf numFmtId="179" fontId="6" fillId="0" borderId="15" xfId="40" applyNumberFormat="1" applyFont="1" applyBorder="1" applyProtection="1">
      <protection hidden="1"/>
    </xf>
    <xf numFmtId="178" fontId="1" fillId="0" borderId="0" xfId="37" applyNumberFormat="1" applyFont="1" applyProtection="1">
      <protection hidden="1"/>
    </xf>
    <xf numFmtId="39" fontId="1" fillId="0" borderId="0" xfId="37" applyNumberFormat="1" applyFont="1" applyProtection="1">
      <protection hidden="1"/>
    </xf>
    <xf numFmtId="179" fontId="1" fillId="0" borderId="0" xfId="37" applyNumberFormat="1" applyFont="1" applyProtection="1">
      <protection hidden="1"/>
    </xf>
    <xf numFmtId="166" fontId="1" fillId="0" borderId="0" xfId="40" applyNumberFormat="1" applyFont="1" applyProtection="1">
      <protection hidden="1"/>
    </xf>
    <xf numFmtId="178" fontId="1" fillId="0" borderId="0" xfId="37" applyNumberFormat="1" applyFont="1" applyFill="1" applyProtection="1">
      <protection hidden="1"/>
    </xf>
    <xf numFmtId="179" fontId="1" fillId="0" borderId="0" xfId="37" applyNumberFormat="1" applyFont="1" applyFill="1" applyProtection="1">
      <protection hidden="1"/>
    </xf>
    <xf numFmtId="166" fontId="1" fillId="0" borderId="0" xfId="40" applyNumberFormat="1" applyFont="1" applyFill="1" applyProtection="1">
      <protection hidden="1"/>
    </xf>
    <xf numFmtId="39" fontId="6" fillId="0" borderId="10" xfId="37" applyNumberFormat="1" applyFont="1" applyFill="1" applyBorder="1" applyAlignment="1" applyProtection="1">
      <alignment horizontal="center" vertical="center" wrapText="1"/>
      <protection hidden="1"/>
    </xf>
    <xf numFmtId="179" fontId="6" fillId="26" borderId="36" xfId="0" applyNumberFormat="1" applyFont="1" applyFill="1" applyBorder="1" applyAlignment="1" applyProtection="1">
      <alignment horizontal="center" vertical="center" wrapText="1"/>
      <protection hidden="1"/>
    </xf>
    <xf numFmtId="37" fontId="37" fillId="0" borderId="0" xfId="37" applyFont="1" applyFill="1" applyBorder="1" applyAlignment="1" applyProtection="1">
      <alignment horizontal="center" vertical="center" wrapText="1"/>
      <protection hidden="1"/>
    </xf>
    <xf numFmtId="39" fontId="33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Protection="1">
      <protection hidden="1"/>
    </xf>
    <xf numFmtId="179" fontId="40" fillId="0" borderId="0" xfId="37" applyNumberFormat="1" applyFont="1" applyFill="1" applyProtection="1">
      <protection hidden="1"/>
    </xf>
    <xf numFmtId="3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7" applyNumberFormat="1" applyFont="1" applyAlignment="1" applyProtection="1">
      <alignment horizontal="center" vertical="center" wrapText="1"/>
      <protection hidden="1"/>
    </xf>
    <xf numFmtId="37" fontId="1" fillId="0" borderId="11" xfId="37" applyNumberFormat="1" applyFont="1" applyFill="1" applyBorder="1" applyProtection="1">
      <protection hidden="1"/>
    </xf>
    <xf numFmtId="179" fontId="1" fillId="28" borderId="16" xfId="33" applyNumberFormat="1" applyFont="1" applyFill="1" applyBorder="1" applyProtection="1">
      <protection hidden="1"/>
    </xf>
    <xf numFmtId="179" fontId="1" fillId="0" borderId="21" xfId="37" applyNumberFormat="1" applyFont="1" applyBorder="1" applyProtection="1">
      <protection hidden="1"/>
    </xf>
    <xf numFmtId="37" fontId="1" fillId="0" borderId="12" xfId="37" applyNumberFormat="1" applyFont="1" applyFill="1" applyBorder="1" applyProtection="1">
      <protection hidden="1"/>
    </xf>
    <xf numFmtId="179" fontId="1" fillId="28" borderId="17" xfId="33" applyNumberFormat="1" applyFont="1" applyFill="1" applyBorder="1" applyProtection="1">
      <protection hidden="1"/>
    </xf>
    <xf numFmtId="179" fontId="1" fillId="0" borderId="19" xfId="37" applyNumberFormat="1" applyFont="1" applyBorder="1" applyProtection="1">
      <protection hidden="1"/>
    </xf>
    <xf numFmtId="37" fontId="6" fillId="0" borderId="13" xfId="37" applyNumberFormat="1" applyFont="1" applyBorder="1" applyProtection="1">
      <protection hidden="1"/>
    </xf>
    <xf numFmtId="179" fontId="6" fillId="28" borderId="18" xfId="40" applyNumberFormat="1" applyFont="1" applyFill="1" applyBorder="1" applyProtection="1">
      <protection hidden="1"/>
    </xf>
    <xf numFmtId="179" fontId="6" fillId="0" borderId="15" xfId="37" applyNumberFormat="1" applyFont="1" applyBorder="1" applyProtection="1">
      <protection hidden="1"/>
    </xf>
    <xf numFmtId="179" fontId="6" fillId="28" borderId="10" xfId="37" applyNumberFormat="1" applyFont="1" applyFill="1" applyBorder="1" applyAlignment="1" applyProtection="1">
      <alignment horizontal="center" vertical="center" wrapText="1"/>
      <protection hidden="1"/>
    </xf>
    <xf numFmtId="173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Border="1" applyAlignment="1" applyProtection="1">
      <alignment horizontal="center" vertical="center" wrapText="1"/>
      <protection hidden="1"/>
    </xf>
    <xf numFmtId="37" fontId="1" fillId="0" borderId="20" xfId="37" applyNumberFormat="1" applyFont="1" applyFill="1" applyBorder="1" applyProtection="1">
      <protection hidden="1"/>
    </xf>
    <xf numFmtId="173" fontId="1" fillId="0" borderId="0" xfId="40" applyNumberFormat="1" applyFont="1" applyFill="1" applyBorder="1" applyProtection="1">
      <protection hidden="1"/>
    </xf>
    <xf numFmtId="3" fontId="32" fillId="0" borderId="11" xfId="0" applyNumberFormat="1" applyFont="1" applyBorder="1" applyProtection="1">
      <protection hidden="1"/>
    </xf>
    <xf numFmtId="37" fontId="1" fillId="0" borderId="23" xfId="37" applyNumberFormat="1" applyFont="1" applyFill="1" applyBorder="1" applyProtection="1">
      <protection hidden="1"/>
    </xf>
    <xf numFmtId="3" fontId="32" fillId="0" borderId="12" xfId="0" applyNumberFormat="1" applyFont="1" applyBorder="1" applyProtection="1">
      <protection hidden="1"/>
    </xf>
    <xf numFmtId="37" fontId="6" fillId="0" borderId="14" xfId="37" applyNumberFormat="1" applyFont="1" applyBorder="1" applyProtection="1">
      <protection hidden="1"/>
    </xf>
    <xf numFmtId="173" fontId="6" fillId="0" borderId="0" xfId="40" applyNumberFormat="1" applyFont="1" applyFill="1" applyBorder="1" applyProtection="1">
      <protection hidden="1"/>
    </xf>
    <xf numFmtId="3" fontId="36" fillId="0" borderId="13" xfId="0" applyNumberFormat="1" applyFont="1" applyBorder="1" applyProtection="1">
      <protection hidden="1"/>
    </xf>
    <xf numFmtId="177" fontId="6" fillId="0" borderId="14" xfId="33" applyNumberFormat="1" applyFont="1" applyFill="1" applyBorder="1" applyProtection="1">
      <protection hidden="1"/>
    </xf>
    <xf numFmtId="37" fontId="1" fillId="0" borderId="0" xfId="37" applyFont="1" applyAlignment="1" applyProtection="1">
      <protection hidden="1"/>
    </xf>
    <xf numFmtId="177" fontId="10" fillId="0" borderId="19" xfId="33" applyNumberFormat="1" applyFont="1" applyFill="1" applyBorder="1" applyProtection="1">
      <protection hidden="1"/>
    </xf>
    <xf numFmtId="177" fontId="10" fillId="0" borderId="21" xfId="33" applyNumberFormat="1" applyFont="1" applyFill="1" applyBorder="1" applyProtection="1">
      <protection hidden="1"/>
    </xf>
    <xf numFmtId="177" fontId="7" fillId="0" borderId="15" xfId="33" applyNumberFormat="1" applyFont="1" applyFill="1" applyBorder="1" applyProtection="1">
      <protection hidden="1"/>
    </xf>
    <xf numFmtId="179" fontId="45" fillId="28" borderId="10" xfId="0" applyNumberFormat="1" applyFont="1" applyFill="1" applyBorder="1" applyAlignment="1" applyProtection="1">
      <alignment horizontal="center" vertical="center" wrapText="1"/>
      <protection hidden="1"/>
    </xf>
    <xf numFmtId="37" fontId="48" fillId="0" borderId="0" xfId="37" applyFont="1" applyAlignment="1" applyProtection="1">
      <alignment horizontal="center"/>
      <protection hidden="1"/>
    </xf>
    <xf numFmtId="0" fontId="45" fillId="28" borderId="10" xfId="0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Alignment="1" applyProtection="1">
      <alignment wrapText="1"/>
      <protection hidden="1"/>
    </xf>
    <xf numFmtId="37" fontId="1" fillId="0" borderId="30" xfId="37" applyFont="1" applyBorder="1" applyAlignment="1" applyProtection="1">
      <alignment wrapText="1"/>
      <protection hidden="1"/>
    </xf>
    <xf numFmtId="37" fontId="52" fillId="0" borderId="0" xfId="37" applyFont="1" applyProtection="1">
      <protection hidden="1"/>
    </xf>
    <xf numFmtId="37" fontId="6" fillId="0" borderId="29" xfId="37" applyFont="1" applyFill="1" applyBorder="1" applyAlignment="1" applyProtection="1">
      <alignment horizontal="center" vertical="center" wrapText="1"/>
      <protection hidden="1"/>
    </xf>
    <xf numFmtId="0" fontId="6" fillId="0" borderId="29" xfId="0" applyFont="1" applyFill="1" applyBorder="1" applyAlignment="1" applyProtection="1">
      <alignment horizontal="center" vertical="center" wrapText="1"/>
      <protection hidden="1"/>
    </xf>
    <xf numFmtId="9" fontId="6" fillId="0" borderId="29" xfId="40" applyFont="1" applyFill="1" applyBorder="1" applyAlignment="1" applyProtection="1">
      <alignment horizontal="center" vertical="center" wrapText="1"/>
      <protection hidden="1"/>
    </xf>
    <xf numFmtId="37" fontId="6" fillId="0" borderId="0" xfId="37" applyFont="1" applyFill="1" applyBorder="1" applyAlignment="1" applyProtection="1">
      <alignment horizontal="center" vertical="center" wrapText="1"/>
      <protection hidden="1"/>
    </xf>
    <xf numFmtId="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29" xfId="40" applyNumberFormat="1" applyFont="1" applyFill="1" applyBorder="1" applyAlignment="1" applyProtection="1">
      <alignment horizontal="center" vertical="center" wrapText="1"/>
      <protection hidden="1"/>
    </xf>
    <xf numFmtId="179" fontId="45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45" fillId="0" borderId="29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37" fontId="33" fillId="0" borderId="0" xfId="37" applyFont="1" applyFill="1" applyBorder="1" applyAlignment="1" applyProtection="1">
      <alignment horizontal="center" vertical="center" wrapText="1"/>
      <protection hidden="1"/>
    </xf>
    <xf numFmtId="178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7" fillId="0" borderId="0" xfId="39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39" applyNumberFormat="1" applyFont="1" applyFill="1" applyBorder="1" applyAlignment="1" applyProtection="1">
      <alignment horizontal="center" vertical="center" wrapText="1"/>
      <protection hidden="1"/>
    </xf>
    <xf numFmtId="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0" fontId="33" fillId="0" borderId="0" xfId="39" applyFont="1" applyFill="1" applyBorder="1" applyAlignment="1" applyProtection="1">
      <alignment horizontal="center" vertical="center" wrapText="1"/>
      <protection hidden="1"/>
    </xf>
    <xf numFmtId="37" fontId="1" fillId="0" borderId="0" xfId="37" applyFont="1" applyFill="1" applyBorder="1" applyProtection="1">
      <protection hidden="1"/>
    </xf>
    <xf numFmtId="181" fontId="1" fillId="0" borderId="20" xfId="40" applyNumberFormat="1" applyFont="1" applyFill="1" applyBorder="1" applyProtection="1">
      <protection hidden="1"/>
    </xf>
    <xf numFmtId="181" fontId="1" fillId="0" borderId="23" xfId="40" applyNumberFormat="1" applyFont="1" applyFill="1" applyBorder="1" applyProtection="1">
      <protection hidden="1"/>
    </xf>
    <xf numFmtId="181" fontId="6" fillId="0" borderId="14" xfId="40" applyNumberFormat="1" applyFont="1" applyFill="1" applyBorder="1" applyProtection="1">
      <protection hidden="1"/>
    </xf>
    <xf numFmtId="182" fontId="1" fillId="0" borderId="20" xfId="40" applyNumberFormat="1" applyFont="1" applyFill="1" applyBorder="1" applyProtection="1">
      <protection hidden="1"/>
    </xf>
    <xf numFmtId="182" fontId="1" fillId="0" borderId="23" xfId="40" applyNumberFormat="1" applyFont="1" applyFill="1" applyBorder="1" applyProtection="1">
      <protection hidden="1"/>
    </xf>
    <xf numFmtId="182" fontId="6" fillId="0" borderId="14" xfId="40" applyNumberFormat="1" applyFont="1" applyFill="1" applyBorder="1" applyProtection="1">
      <protection hidden="1"/>
    </xf>
    <xf numFmtId="39" fontId="6" fillId="0" borderId="0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37" applyNumberFormat="1" applyFont="1" applyFill="1" applyBorder="1" applyAlignment="1" applyProtection="1">
      <alignment horizontal="center" vertical="center" wrapText="1"/>
      <protection hidden="1"/>
    </xf>
    <xf numFmtId="179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1" fillId="0" borderId="0" xfId="37" applyNumberFormat="1" applyFont="1" applyProtection="1">
      <protection hidden="1"/>
    </xf>
    <xf numFmtId="173" fontId="6" fillId="0" borderId="10" xfId="0" applyNumberFormat="1" applyFont="1" applyFill="1" applyBorder="1" applyAlignment="1" applyProtection="1">
      <alignment horizontal="center" vertical="center" wrapText="1"/>
      <protection hidden="1"/>
    </xf>
    <xf numFmtId="173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173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173" fontId="40" fillId="0" borderId="0" xfId="37" applyNumberFormat="1" applyFont="1" applyFill="1" applyProtection="1">
      <protection hidden="1"/>
    </xf>
    <xf numFmtId="173" fontId="1" fillId="0" borderId="20" xfId="40" applyNumberFormat="1" applyFont="1" applyFill="1" applyBorder="1" applyProtection="1">
      <protection hidden="1"/>
    </xf>
    <xf numFmtId="173" fontId="1" fillId="0" borderId="23" xfId="40" applyNumberFormat="1" applyFont="1" applyFill="1" applyBorder="1" applyProtection="1">
      <protection hidden="1"/>
    </xf>
    <xf numFmtId="173" fontId="6" fillId="0" borderId="14" xfId="40" applyNumberFormat="1" applyFont="1" applyFill="1" applyBorder="1" applyProtection="1">
      <protection hidden="1"/>
    </xf>
    <xf numFmtId="49" fontId="49" fillId="0" borderId="0" xfId="33" applyNumberFormat="1" applyFont="1" applyFill="1" applyBorder="1" applyAlignment="1" applyProtection="1">
      <alignment horizontal="center" vertical="center" wrapText="1"/>
      <protection hidden="1"/>
    </xf>
    <xf numFmtId="49" fontId="5" fillId="0" borderId="0" xfId="33" applyNumberFormat="1" applyFont="1" applyFill="1" applyBorder="1" applyAlignment="1" applyProtection="1">
      <alignment horizontal="center" vertical="center" wrapText="1"/>
      <protection hidden="1"/>
    </xf>
    <xf numFmtId="10" fontId="49" fillId="0" borderId="0" xfId="40" applyNumberFormat="1" applyFont="1" applyFill="1" applyBorder="1" applyAlignment="1" applyProtection="1">
      <alignment horizontal="center" vertical="center" wrapText="1"/>
      <protection hidden="1"/>
    </xf>
    <xf numFmtId="183" fontId="2" fillId="0" borderId="20" xfId="40" applyNumberFormat="1" applyFont="1" applyFill="1" applyBorder="1" applyProtection="1">
      <protection hidden="1"/>
    </xf>
    <xf numFmtId="183" fontId="2" fillId="0" borderId="23" xfId="40" applyNumberFormat="1" applyFont="1" applyFill="1" applyBorder="1" applyProtection="1">
      <protection hidden="1"/>
    </xf>
    <xf numFmtId="183" fontId="5" fillId="0" borderId="14" xfId="40" applyNumberFormat="1" applyFont="1" applyFill="1" applyBorder="1" applyProtection="1">
      <protection hidden="1"/>
    </xf>
    <xf numFmtId="0" fontId="6" fillId="26" borderId="32" xfId="0" applyFont="1" applyFill="1" applyBorder="1" applyAlignment="1" applyProtection="1">
      <alignment horizontal="center"/>
      <protection hidden="1"/>
    </xf>
    <xf numFmtId="0" fontId="6" fillId="26" borderId="31" xfId="0" applyFont="1" applyFill="1" applyBorder="1" applyAlignment="1" applyProtection="1">
      <alignment horizontal="center"/>
      <protection hidden="1"/>
    </xf>
    <xf numFmtId="0" fontId="6" fillId="26" borderId="0" xfId="0" applyFont="1" applyFill="1" applyBorder="1" applyAlignment="1" applyProtection="1">
      <alignment horizontal="center"/>
      <protection hidden="1"/>
    </xf>
    <xf numFmtId="184" fontId="31" fillId="0" borderId="0" xfId="37" applyNumberFormat="1" applyFont="1" applyBorder="1" applyAlignment="1" applyProtection="1">
      <alignment horizontal="center" vertical="center" wrapText="1"/>
      <protection hidden="1"/>
    </xf>
    <xf numFmtId="3" fontId="53" fillId="0" borderId="23" xfId="0" applyNumberFormat="1" applyFont="1" applyBorder="1"/>
    <xf numFmtId="3" fontId="0" fillId="0" borderId="0" xfId="0" applyNumberFormat="1" applyProtection="1">
      <protection hidden="1"/>
    </xf>
    <xf numFmtId="165" fontId="1" fillId="0" borderId="23" xfId="33" applyNumberFormat="1" applyFont="1" applyBorder="1" applyProtection="1">
      <protection hidden="1"/>
    </xf>
    <xf numFmtId="0" fontId="1" fillId="0" borderId="23" xfId="0" applyFont="1" applyBorder="1" applyProtection="1">
      <protection hidden="1"/>
    </xf>
    <xf numFmtId="49" fontId="53" fillId="0" borderId="23" xfId="0" applyNumberFormat="1" applyFont="1" applyBorder="1" applyAlignment="1"/>
    <xf numFmtId="0" fontId="6" fillId="0" borderId="23" xfId="0" applyFont="1" applyBorder="1" applyAlignment="1" applyProtection="1">
      <alignment horizontal="center" vertical="center"/>
      <protection hidden="1"/>
    </xf>
    <xf numFmtId="0" fontId="54" fillId="0" borderId="0" xfId="0" applyFont="1" applyProtection="1">
      <protection hidden="1"/>
    </xf>
    <xf numFmtId="37" fontId="2" fillId="0" borderId="0" xfId="37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Border="1" applyProtection="1">
      <protection hidden="1"/>
    </xf>
    <xf numFmtId="165" fontId="1" fillId="0" borderId="0" xfId="33" applyNumberFormat="1" applyFont="1" applyBorder="1" applyProtection="1">
      <protection hidden="1"/>
    </xf>
    <xf numFmtId="0" fontId="1" fillId="0" borderId="23" xfId="0" applyFont="1" applyBorder="1" applyAlignment="1" applyProtection="1">
      <alignment horizontal="center" wrapText="1"/>
      <protection hidden="1"/>
    </xf>
    <xf numFmtId="3" fontId="0" fillId="0" borderId="23" xfId="0" applyNumberFormat="1" applyBorder="1" applyProtection="1"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26" borderId="38" xfId="0" applyFont="1" applyFill="1" applyBorder="1" applyAlignment="1" applyProtection="1">
      <alignment horizontal="center" wrapText="1"/>
      <protection hidden="1"/>
    </xf>
    <xf numFmtId="0" fontId="6" fillId="0" borderId="23" xfId="0" applyFont="1" applyBorder="1" applyProtection="1">
      <protection hidden="1"/>
    </xf>
    <xf numFmtId="0" fontId="0" fillId="0" borderId="23" xfId="0" applyBorder="1" applyProtection="1">
      <protection hidden="1"/>
    </xf>
    <xf numFmtId="0" fontId="6" fillId="0" borderId="23" xfId="0" applyFont="1" applyBorder="1" applyAlignment="1" applyProtection="1">
      <alignment horizontal="center" wrapText="1"/>
      <protection hidden="1"/>
    </xf>
    <xf numFmtId="3" fontId="6" fillId="0" borderId="23" xfId="0" applyNumberFormat="1" applyFont="1" applyBorder="1" applyProtection="1">
      <protection hidden="1"/>
    </xf>
    <xf numFmtId="0" fontId="1" fillId="0" borderId="0" xfId="0" applyFont="1" applyProtection="1">
      <protection hidden="1"/>
    </xf>
    <xf numFmtId="0" fontId="35" fillId="0" borderId="0" xfId="0" applyFont="1" applyAlignment="1" applyProtection="1">
      <alignment vertical="top"/>
      <protection hidden="1"/>
    </xf>
    <xf numFmtId="184" fontId="2" fillId="0" borderId="0" xfId="37" applyNumberFormat="1" applyFont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33" applyNumberFormat="1" applyFont="1" applyProtection="1">
      <protection hidden="1"/>
    </xf>
    <xf numFmtId="179" fontId="47" fillId="0" borderId="0" xfId="37" applyNumberFormat="1" applyFont="1" applyAlignment="1" applyProtection="1">
      <alignment horizontal="center" vertical="center"/>
      <protection hidden="1"/>
    </xf>
    <xf numFmtId="186" fontId="2" fillId="0" borderId="0" xfId="37" applyNumberFormat="1" applyFont="1" applyProtection="1">
      <protection hidden="1"/>
    </xf>
    <xf numFmtId="49" fontId="49" fillId="0" borderId="10" xfId="54" applyNumberFormat="1" applyFont="1" applyFill="1" applyBorder="1" applyAlignment="1" applyProtection="1">
      <alignment horizontal="center" vertical="center" wrapText="1"/>
      <protection hidden="1"/>
    </xf>
    <xf numFmtId="49" fontId="49" fillId="25" borderId="39" xfId="54" applyNumberFormat="1" applyFont="1" applyFill="1" applyBorder="1" applyAlignment="1" applyProtection="1">
      <alignment horizontal="center" vertical="center" wrapText="1"/>
      <protection hidden="1"/>
    </xf>
    <xf numFmtId="10" fontId="49" fillId="0" borderId="40" xfId="56" applyNumberFormat="1" applyFont="1" applyFill="1" applyBorder="1" applyAlignment="1" applyProtection="1">
      <alignment horizontal="center" vertical="center" wrapText="1"/>
      <protection hidden="1"/>
    </xf>
    <xf numFmtId="10" fontId="49" fillId="25" borderId="10" xfId="56" applyNumberFormat="1" applyFont="1" applyFill="1" applyBorder="1" applyAlignment="1" applyProtection="1">
      <alignment horizontal="center" vertical="center" wrapText="1"/>
      <protection hidden="1"/>
    </xf>
    <xf numFmtId="187" fontId="2" fillId="0" borderId="0" xfId="37" applyNumberFormat="1" applyFont="1" applyProtection="1">
      <protection hidden="1"/>
    </xf>
    <xf numFmtId="37" fontId="2" fillId="0" borderId="0" xfId="37" applyFont="1" applyAlignment="1" applyProtection="1">
      <alignment wrapText="1"/>
      <protection hidden="1"/>
    </xf>
    <xf numFmtId="37" fontId="2" fillId="0" borderId="0" xfId="37" applyFont="1" applyAlignment="1" applyProtection="1">
      <alignment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37" fontId="48" fillId="0" borderId="0" xfId="37" applyFont="1" applyAlignment="1" applyProtection="1">
      <alignment horizontal="center"/>
      <protection hidden="1"/>
    </xf>
    <xf numFmtId="37" fontId="1" fillId="0" borderId="30" xfId="37" applyFont="1" applyBorder="1" applyAlignment="1" applyProtection="1">
      <alignment horizontal="center"/>
      <protection hidden="1"/>
    </xf>
    <xf numFmtId="37" fontId="47" fillId="0" borderId="30" xfId="37" applyFont="1" applyBorder="1" applyAlignment="1" applyProtection="1">
      <alignment horizontal="center"/>
      <protection hidden="1"/>
    </xf>
    <xf numFmtId="37" fontId="48" fillId="0" borderId="0" xfId="37" applyFont="1" applyAlignment="1" applyProtection="1">
      <alignment horizontal="center" wrapText="1"/>
      <protection hidden="1"/>
    </xf>
    <xf numFmtId="37" fontId="50" fillId="0" borderId="0" xfId="37" applyFont="1" applyAlignment="1" applyProtection="1">
      <alignment horizontal="center" wrapText="1"/>
      <protection hidden="1"/>
    </xf>
    <xf numFmtId="37" fontId="47" fillId="0" borderId="30" xfId="37" applyFont="1" applyBorder="1" applyAlignment="1" applyProtection="1">
      <alignment horizontal="center" vertical="center"/>
      <protection hidden="1"/>
    </xf>
    <xf numFmtId="37" fontId="1" fillId="0" borderId="30" xfId="37" applyFont="1" applyBorder="1" applyAlignment="1" applyProtection="1">
      <alignment horizontal="center" vertical="center"/>
      <protection hidden="1"/>
    </xf>
    <xf numFmtId="37" fontId="47" fillId="0" borderId="30" xfId="37" applyFont="1" applyBorder="1" applyAlignment="1" applyProtection="1">
      <alignment horizontal="center" vertical="center" wrapText="1"/>
      <protection hidden="1"/>
    </xf>
    <xf numFmtId="37" fontId="1" fillId="0" borderId="0" xfId="37" applyFont="1" applyAlignment="1" applyProtection="1">
      <alignment horizontal="left" wrapText="1"/>
      <protection hidden="1"/>
    </xf>
    <xf numFmtId="37" fontId="1" fillId="0" borderId="0" xfId="37" applyFont="1" applyAlignment="1" applyProtection="1">
      <alignment horizontal="left" vertical="center"/>
      <protection hidden="1"/>
    </xf>
    <xf numFmtId="37" fontId="46" fillId="0" borderId="30" xfId="37" applyFont="1" applyBorder="1" applyAlignment="1" applyProtection="1">
      <alignment horizontal="center"/>
      <protection hidden="1"/>
    </xf>
    <xf numFmtId="37" fontId="51" fillId="0" borderId="0" xfId="37" applyFont="1" applyAlignment="1" applyProtection="1">
      <alignment horizontal="center" wrapText="1"/>
      <protection hidden="1"/>
    </xf>
    <xf numFmtId="37" fontId="2" fillId="0" borderId="0" xfId="37" applyFont="1" applyAlignment="1" applyProtection="1">
      <alignment horizontal="center" wrapText="1"/>
      <protection hidden="1"/>
    </xf>
    <xf numFmtId="49" fontId="49" fillId="25" borderId="39" xfId="54" applyNumberFormat="1" applyFont="1" applyFill="1" applyBorder="1" applyAlignment="1" applyProtection="1">
      <alignment horizontal="center" vertical="center" wrapText="1"/>
      <protection hidden="1"/>
    </xf>
    <xf numFmtId="49" fontId="49" fillId="25" borderId="40" xfId="54" applyNumberFormat="1" applyFont="1" applyFill="1" applyBorder="1" applyAlignment="1" applyProtection="1">
      <alignment horizontal="center" vertical="center" wrapText="1"/>
      <protection hidden="1"/>
    </xf>
    <xf numFmtId="37" fontId="6" fillId="0" borderId="39" xfId="37" applyFont="1" applyFill="1" applyBorder="1" applyAlignment="1" applyProtection="1">
      <alignment horizontal="center" vertical="center" wrapText="1"/>
      <protection hidden="1"/>
    </xf>
    <xf numFmtId="37" fontId="6" fillId="0" borderId="40" xfId="37" applyFont="1" applyFill="1" applyBorder="1" applyAlignment="1" applyProtection="1">
      <alignment horizontal="center" vertical="center" wrapText="1"/>
      <protection hidden="1"/>
    </xf>
    <xf numFmtId="49" fontId="49" fillId="0" borderId="39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0" xfId="54" applyNumberFormat="1" applyFont="1" applyFill="1" applyBorder="1" applyAlignment="1" applyProtection="1">
      <alignment horizontal="center" vertical="center" wrapText="1"/>
      <protection hidden="1"/>
    </xf>
    <xf numFmtId="49" fontId="5" fillId="0" borderId="40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1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2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3" xfId="54" applyNumberFormat="1" applyFont="1" applyFill="1" applyBorder="1" applyAlignment="1" applyProtection="1">
      <alignment horizontal="center" vertical="center" wrapText="1"/>
      <protection hidden="1"/>
    </xf>
    <xf numFmtId="49" fontId="49" fillId="0" borderId="44" xfId="54" applyNumberFormat="1" applyFont="1" applyFill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/>
      <protection hidden="1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 2" xfId="51"/>
    <cellStyle name="Millares 2 2" xfId="54"/>
    <cellStyle name="Millares 3" xfId="52"/>
    <cellStyle name="Neutral" xfId="34" builtinId="28" customBuiltin="1"/>
    <cellStyle name="Normal" xfId="0" builtinId="0"/>
    <cellStyle name="Normal 2" xfId="35"/>
    <cellStyle name="Normal 3" xfId="36"/>
    <cellStyle name="Normal 4" xfId="53"/>
    <cellStyle name="Normal_FGPAGO95" xfId="37"/>
    <cellStyle name="Notas" xfId="38" builtinId="10" customBuiltin="1"/>
    <cellStyle name="PESOS" xfId="39"/>
    <cellStyle name="Porcentual" xfId="40" builtinId="5"/>
    <cellStyle name="Porcentual 2" xfId="41"/>
    <cellStyle name="Porcentual 3" xfId="55"/>
    <cellStyle name="Porcentual 4" xfId="56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  <cellStyle name="UDI´s" xfId="50"/>
  </cellStyles>
  <dxfs count="1">
    <dxf>
      <fill>
        <gradientFill degree="180">
          <stop position="0">
            <color theme="0"/>
          </stop>
          <stop position="1">
            <color theme="9" tint="-0.25098422193060094"/>
          </stop>
        </gradientFill>
      </fill>
    </dxf>
  </dxfs>
  <tableStyles count="0" defaultTableStyle="TableStyleMedium9" defaultPivotStyle="PivotStyleLight16"/>
  <colors>
    <mruColors>
      <color rgb="FFA5002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zoomScaleNormal="100" zoomScaleSheetLayoutView="100" workbookViewId="0">
      <selection activeCell="A2" sqref="A2"/>
    </sheetView>
  </sheetViews>
  <sheetFormatPr baseColWidth="10" defaultColWidth="11.42578125" defaultRowHeight="12.75"/>
  <cols>
    <col min="1" max="1" width="2.85546875" style="20" customWidth="1"/>
    <col min="2" max="2" width="60.5703125" style="20" customWidth="1"/>
    <col min="3" max="3" width="16.7109375" style="21" customWidth="1"/>
    <col min="4" max="4" width="3.7109375" style="20" customWidth="1"/>
    <col min="5" max="5" width="14.140625" style="20" customWidth="1"/>
    <col min="6" max="6" width="14" style="20" customWidth="1"/>
    <col min="7" max="7" width="14.140625" style="20" customWidth="1"/>
    <col min="8" max="8" width="3.42578125" style="20" customWidth="1"/>
    <col min="9" max="9" width="12.28515625" style="20" customWidth="1"/>
    <col min="10" max="10" width="13.140625" style="20" customWidth="1"/>
    <col min="11" max="11" width="12.7109375" style="20" customWidth="1"/>
    <col min="12" max="12" width="3.42578125" style="20" customWidth="1"/>
    <col min="13" max="13" width="12.85546875" style="20" customWidth="1"/>
    <col min="14" max="14" width="13.85546875" style="20" customWidth="1"/>
    <col min="15" max="15" width="13.42578125" style="20" customWidth="1"/>
    <col min="16" max="18" width="11.42578125" style="20"/>
    <col min="19" max="19" width="11.42578125" style="20" customWidth="1"/>
    <col min="20" max="20" width="14.42578125" style="20" customWidth="1"/>
    <col min="21" max="21" width="12.7109375" style="20" customWidth="1"/>
    <col min="22" max="22" width="15.5703125" style="20" bestFit="1" customWidth="1"/>
    <col min="23" max="23" width="16" style="20" bestFit="1" customWidth="1"/>
    <col min="24" max="25" width="15.5703125" style="20" bestFit="1" customWidth="1"/>
    <col min="26" max="26" width="13.7109375" style="20" bestFit="1" customWidth="1"/>
    <col min="27" max="27" width="13" style="20" bestFit="1" customWidth="1"/>
    <col min="28" max="28" width="14" style="20" bestFit="1" customWidth="1"/>
    <col min="29" max="31" width="13.7109375" style="20" bestFit="1" customWidth="1"/>
    <col min="32" max="32" width="14" style="20" bestFit="1" customWidth="1"/>
    <col min="33" max="33" width="14.42578125" style="20" bestFit="1" customWidth="1"/>
    <col min="34" max="34" width="13.7109375" style="20" bestFit="1" customWidth="1"/>
    <col min="35" max="35" width="15.85546875" style="20" customWidth="1"/>
    <col min="36" max="36" width="12.7109375" style="20" bestFit="1" customWidth="1"/>
    <col min="37" max="16384" width="11.42578125" style="20"/>
  </cols>
  <sheetData>
    <row r="1" spans="1:15" ht="34.5" customHeight="1">
      <c r="A1" s="251" t="s">
        <v>251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ht="24" customHeight="1"/>
    <row r="3" spans="1:15" ht="27.75" customHeight="1">
      <c r="E3" s="22" t="s">
        <v>81</v>
      </c>
      <c r="F3" s="22" t="s">
        <v>82</v>
      </c>
      <c r="G3" s="22" t="s">
        <v>83</v>
      </c>
      <c r="H3" s="23"/>
      <c r="I3" s="22" t="s">
        <v>84</v>
      </c>
      <c r="J3" s="22" t="s">
        <v>85</v>
      </c>
      <c r="K3" s="22" t="s">
        <v>86</v>
      </c>
      <c r="L3" s="23"/>
      <c r="M3" s="22" t="s">
        <v>87</v>
      </c>
      <c r="N3" s="22" t="s">
        <v>81</v>
      </c>
      <c r="O3" s="22" t="s">
        <v>82</v>
      </c>
    </row>
    <row r="4" spans="1:15" ht="24.75" customHeight="1">
      <c r="B4" s="24" t="s">
        <v>216</v>
      </c>
      <c r="C4" s="232" t="s">
        <v>211</v>
      </c>
      <c r="D4" s="21"/>
      <c r="E4" s="25">
        <v>0.42499999999999999</v>
      </c>
      <c r="F4" s="25">
        <v>0.27500000000000002</v>
      </c>
      <c r="G4" s="26">
        <v>0.3</v>
      </c>
      <c r="H4" s="21"/>
      <c r="I4" s="26">
        <v>0.35</v>
      </c>
      <c r="J4" s="26">
        <v>0.35</v>
      </c>
      <c r="K4" s="26">
        <v>0.3</v>
      </c>
      <c r="L4" s="21"/>
      <c r="M4" s="26">
        <v>0.5</v>
      </c>
      <c r="N4" s="26">
        <v>0.25</v>
      </c>
      <c r="O4" s="26">
        <v>0.25</v>
      </c>
    </row>
    <row r="5" spans="1:15">
      <c r="B5" s="27"/>
      <c r="C5" s="213" t="s">
        <v>180</v>
      </c>
      <c r="E5" s="214" t="s">
        <v>180</v>
      </c>
      <c r="F5" s="215" t="s">
        <v>180</v>
      </c>
      <c r="G5" s="213" t="s">
        <v>180</v>
      </c>
      <c r="I5" s="214" t="s">
        <v>180</v>
      </c>
      <c r="J5" s="215" t="s">
        <v>180</v>
      </c>
      <c r="K5" s="213" t="s">
        <v>180</v>
      </c>
      <c r="M5" s="214" t="s">
        <v>180</v>
      </c>
      <c r="N5" s="215" t="s">
        <v>180</v>
      </c>
      <c r="O5" s="213" t="s">
        <v>180</v>
      </c>
    </row>
    <row r="6" spans="1:15" ht="14.25">
      <c r="B6" s="30" t="s">
        <v>105</v>
      </c>
      <c r="C6" s="31">
        <f>+'PART 1 SEM Y PEF'!P15*0.2</f>
        <v>4348086101.6000004</v>
      </c>
      <c r="E6" s="32">
        <f>+$C6*E$4</f>
        <v>1847936593.1800001</v>
      </c>
      <c r="F6" s="33">
        <f>+$C6*F$4</f>
        <v>1195723677.9400003</v>
      </c>
      <c r="G6" s="34">
        <f>+$C6*G$4</f>
        <v>1304425830.48</v>
      </c>
      <c r="I6" s="35"/>
      <c r="J6" s="36"/>
      <c r="K6" s="37"/>
      <c r="M6" s="35"/>
      <c r="N6" s="36"/>
      <c r="O6" s="37"/>
    </row>
    <row r="7" spans="1:15">
      <c r="B7" s="27"/>
      <c r="C7" s="38"/>
      <c r="E7" s="27"/>
      <c r="F7" s="28"/>
      <c r="G7" s="29"/>
      <c r="I7" s="27"/>
      <c r="J7" s="28"/>
      <c r="K7" s="29"/>
      <c r="M7" s="27"/>
      <c r="N7" s="28"/>
      <c r="O7" s="29"/>
    </row>
    <row r="8" spans="1:15" ht="14.25">
      <c r="B8" s="30" t="s">
        <v>107</v>
      </c>
      <c r="C8" s="31">
        <f>+'PART 1 SEM Y PEF'!P16</f>
        <v>546004445</v>
      </c>
      <c r="E8" s="32">
        <f>+$C8*E$4</f>
        <v>232051889.125</v>
      </c>
      <c r="F8" s="33">
        <f>+$C8*F$4</f>
        <v>150151222.375</v>
      </c>
      <c r="G8" s="34">
        <f>+$C8*G$4</f>
        <v>163801333.5</v>
      </c>
      <c r="I8" s="35"/>
      <c r="J8" s="36"/>
      <c r="K8" s="37"/>
      <c r="M8" s="35"/>
      <c r="N8" s="36"/>
      <c r="O8" s="37"/>
    </row>
    <row r="9" spans="1:15">
      <c r="B9" s="27"/>
      <c r="C9" s="38"/>
      <c r="E9" s="27"/>
      <c r="F9" s="28"/>
      <c r="G9" s="29"/>
      <c r="I9" s="27"/>
      <c r="J9" s="28"/>
      <c r="K9" s="29"/>
      <c r="M9" s="27"/>
      <c r="N9" s="28"/>
      <c r="O9" s="29"/>
    </row>
    <row r="10" spans="1:15" ht="14.25">
      <c r="B10" s="30" t="s">
        <v>106</v>
      </c>
      <c r="C10" s="31">
        <f>+'PART 1 SEM Y PEF'!P17*0.2</f>
        <v>157118026.59999999</v>
      </c>
      <c r="E10" s="32">
        <f>+$C10*E$4</f>
        <v>66775161.304999992</v>
      </c>
      <c r="F10" s="33">
        <f>+$C10*F$4</f>
        <v>43207457.315000005</v>
      </c>
      <c r="G10" s="34">
        <f>+$C10*G$4</f>
        <v>47135407.979999997</v>
      </c>
      <c r="I10" s="35"/>
      <c r="J10" s="36"/>
      <c r="K10" s="37"/>
      <c r="M10" s="35"/>
      <c r="N10" s="36"/>
      <c r="O10" s="37"/>
    </row>
    <row r="11" spans="1:15">
      <c r="B11" s="27"/>
      <c r="C11" s="38"/>
      <c r="E11" s="27"/>
      <c r="F11" s="28"/>
      <c r="G11" s="29"/>
      <c r="I11" s="27"/>
      <c r="J11" s="28"/>
      <c r="K11" s="29"/>
      <c r="M11" s="27"/>
      <c r="N11" s="28"/>
      <c r="O11" s="29"/>
    </row>
    <row r="12" spans="1:15" ht="14.25">
      <c r="B12" s="30" t="s">
        <v>108</v>
      </c>
      <c r="C12" s="31">
        <f>+'PART 1 SEM Y PEF'!P18*0.2</f>
        <v>197477695.80000001</v>
      </c>
      <c r="E12" s="32">
        <f>+$C12*E$4</f>
        <v>83928020.715000004</v>
      </c>
      <c r="F12" s="33">
        <f>+$C12*F$4</f>
        <v>54306366.345000006</v>
      </c>
      <c r="G12" s="34">
        <f>+$C12*G$4</f>
        <v>59243308.740000002</v>
      </c>
      <c r="I12" s="35"/>
      <c r="J12" s="36"/>
      <c r="K12" s="37"/>
      <c r="M12" s="35"/>
      <c r="N12" s="36"/>
      <c r="O12" s="37"/>
    </row>
    <row r="13" spans="1:15">
      <c r="B13" s="27"/>
      <c r="C13" s="38"/>
      <c r="E13" s="27"/>
      <c r="F13" s="28"/>
      <c r="G13" s="29"/>
      <c r="I13" s="27"/>
      <c r="J13" s="28"/>
      <c r="K13" s="29"/>
      <c r="M13" s="27"/>
      <c r="N13" s="28"/>
      <c r="O13" s="29"/>
    </row>
    <row r="14" spans="1:15" ht="14.25">
      <c r="B14" s="30" t="s">
        <v>110</v>
      </c>
      <c r="C14" s="31">
        <f>+'PART 1 SEM Y PEF'!P19*0.2</f>
        <v>130761654.40000001</v>
      </c>
      <c r="E14" s="32">
        <f>+$C14*E$4</f>
        <v>55573703.120000005</v>
      </c>
      <c r="F14" s="33">
        <f>+$C14*F$4</f>
        <v>35959454.960000001</v>
      </c>
      <c r="G14" s="34">
        <f>+$C14*G$4</f>
        <v>39228496.32</v>
      </c>
      <c r="I14" s="35"/>
      <c r="J14" s="36"/>
      <c r="K14" s="37"/>
      <c r="M14" s="35"/>
      <c r="N14" s="36"/>
      <c r="O14" s="37"/>
    </row>
    <row r="15" spans="1:15">
      <c r="B15" s="27"/>
      <c r="C15" s="38"/>
      <c r="E15" s="27"/>
      <c r="F15" s="28"/>
      <c r="G15" s="29"/>
      <c r="I15" s="27"/>
      <c r="J15" s="28"/>
      <c r="K15" s="29"/>
      <c r="M15" s="27"/>
      <c r="N15" s="28"/>
      <c r="O15" s="29"/>
    </row>
    <row r="16" spans="1:15" ht="14.25">
      <c r="B16" s="30" t="s">
        <v>109</v>
      </c>
      <c r="C16" s="31">
        <f>+'PART 1 SEM Y PEF'!P20*0.2</f>
        <v>205251564.20000002</v>
      </c>
      <c r="E16" s="35"/>
      <c r="F16" s="36"/>
      <c r="G16" s="37"/>
      <c r="I16" s="32">
        <f>+$C16*I$4</f>
        <v>71838047.469999999</v>
      </c>
      <c r="J16" s="33">
        <f>+$C16*J$4</f>
        <v>71838047.469999999</v>
      </c>
      <c r="K16" s="34">
        <f>+$C16*K$4</f>
        <v>61575469.260000005</v>
      </c>
      <c r="M16" s="35"/>
      <c r="N16" s="36"/>
      <c r="O16" s="37"/>
    </row>
    <row r="17" spans="1:15">
      <c r="B17" s="27"/>
      <c r="C17" s="38"/>
      <c r="E17" s="27"/>
      <c r="F17" s="28"/>
      <c r="G17" s="29"/>
      <c r="I17" s="27"/>
      <c r="J17" s="28"/>
      <c r="K17" s="29"/>
      <c r="M17" s="27"/>
      <c r="N17" s="28"/>
      <c r="O17" s="29"/>
    </row>
    <row r="18" spans="1:15" ht="14.25">
      <c r="B18" s="30" t="s">
        <v>111</v>
      </c>
      <c r="C18" s="31">
        <f>+'PART 1 SEM Y PEF'!P21*0.3</f>
        <v>649254331.78143227</v>
      </c>
      <c r="E18" s="27"/>
      <c r="F18" s="28"/>
      <c r="G18" s="29"/>
      <c r="I18" s="27"/>
      <c r="J18" s="28"/>
      <c r="K18" s="29"/>
      <c r="M18" s="32">
        <f>+$C18*M$4</f>
        <v>324627165.89071614</v>
      </c>
      <c r="N18" s="33">
        <f>+$C18*N$4</f>
        <v>162313582.94535807</v>
      </c>
      <c r="O18" s="34">
        <f>+$C18*O$4</f>
        <v>162313582.94535807</v>
      </c>
    </row>
    <row r="19" spans="1:15">
      <c r="B19" s="27"/>
      <c r="C19" s="38"/>
      <c r="E19" s="27"/>
      <c r="F19" s="28"/>
      <c r="G19" s="29"/>
      <c r="I19" s="27"/>
      <c r="J19" s="28"/>
      <c r="K19" s="29"/>
      <c r="M19" s="27"/>
      <c r="N19" s="28"/>
      <c r="O19" s="29"/>
    </row>
    <row r="20" spans="1:15">
      <c r="B20" s="39" t="s">
        <v>53</v>
      </c>
      <c r="C20" s="40">
        <f>SUM(C5:C19)</f>
        <v>6233953819.3814325</v>
      </c>
      <c r="E20" s="41">
        <f t="shared" ref="E20:G20" si="0">SUM(E5:E19)</f>
        <v>2286265367.4450002</v>
      </c>
      <c r="F20" s="42">
        <f t="shared" si="0"/>
        <v>1479348178.9350004</v>
      </c>
      <c r="G20" s="43">
        <f t="shared" si="0"/>
        <v>1613834377.02</v>
      </c>
      <c r="I20" s="41">
        <f t="shared" ref="I20:K20" si="1">SUM(I5:I19)</f>
        <v>71838047.469999999</v>
      </c>
      <c r="J20" s="42">
        <f t="shared" si="1"/>
        <v>71838047.469999999</v>
      </c>
      <c r="K20" s="43">
        <f t="shared" si="1"/>
        <v>61575469.260000005</v>
      </c>
      <c r="M20" s="44">
        <f t="shared" ref="M20:O20" si="2">SUM(M5:M19)</f>
        <v>324627165.89071614</v>
      </c>
      <c r="N20" s="45">
        <f t="shared" si="2"/>
        <v>162313582.94535807</v>
      </c>
      <c r="O20" s="46">
        <f t="shared" si="2"/>
        <v>162313582.94535807</v>
      </c>
    </row>
    <row r="22" spans="1:15">
      <c r="C22" s="47"/>
      <c r="G22" s="240"/>
    </row>
    <row r="23" spans="1:15">
      <c r="C23" s="47"/>
    </row>
    <row r="24" spans="1:15">
      <c r="A24" s="20" t="s">
        <v>122</v>
      </c>
    </row>
    <row r="25" spans="1:15" ht="25.5" customHeight="1">
      <c r="A25" s="238" t="s">
        <v>74</v>
      </c>
      <c r="B25" s="250" t="s">
        <v>242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</row>
    <row r="26" spans="1:15" ht="25.5" customHeight="1">
      <c r="A26" s="238" t="s">
        <v>75</v>
      </c>
      <c r="B26" s="250" t="s">
        <v>247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</row>
    <row r="27" spans="1:15" ht="25.5" customHeight="1">
      <c r="A27" s="238" t="s">
        <v>76</v>
      </c>
      <c r="B27" s="250" t="s">
        <v>243</v>
      </c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</row>
    <row r="28" spans="1:15" ht="25.5" customHeight="1">
      <c r="A28" s="238" t="s">
        <v>77</v>
      </c>
      <c r="B28" s="250" t="s">
        <v>244</v>
      </c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</row>
    <row r="29" spans="1:15" ht="25.5" customHeight="1">
      <c r="A29" s="238" t="s">
        <v>78</v>
      </c>
      <c r="B29" s="249" t="s">
        <v>245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</row>
    <row r="30" spans="1:15" ht="25.5" customHeight="1">
      <c r="A30" s="238" t="s">
        <v>79</v>
      </c>
      <c r="B30" s="250" t="s">
        <v>246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</row>
    <row r="31" spans="1:15">
      <c r="A31" s="238" t="s">
        <v>80</v>
      </c>
      <c r="B31" s="224" t="s">
        <v>248</v>
      </c>
      <c r="C31" s="225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</row>
  </sheetData>
  <mergeCells count="7">
    <mergeCell ref="B29:O29"/>
    <mergeCell ref="B30:O30"/>
    <mergeCell ref="A1:O1"/>
    <mergeCell ref="B25:O25"/>
    <mergeCell ref="B26:O26"/>
    <mergeCell ref="B27:O27"/>
    <mergeCell ref="B28:O28"/>
  </mergeCells>
  <pageMargins left="0.78740157480314965" right="0.19685039370078741" top="0.15748031496062992" bottom="0.15748031496062992" header="0.15748031496062992" footer="0.15748031496062992"/>
  <pageSetup paperSize="5" scale="80" orientation="landscape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88"/>
  <sheetViews>
    <sheetView topLeftCell="U1" zoomScaleNormal="100" workbookViewId="0">
      <selection sqref="A1:AS1"/>
    </sheetView>
  </sheetViews>
  <sheetFormatPr baseColWidth="10" defaultColWidth="9.7109375" defaultRowHeight="12.75"/>
  <cols>
    <col min="1" max="1" width="30.28515625" style="55" customWidth="1"/>
    <col min="2" max="2" width="14.140625" style="55" customWidth="1"/>
    <col min="3" max="3" width="16.42578125" style="55" customWidth="1"/>
    <col min="4" max="4" width="14" style="124" customWidth="1"/>
    <col min="5" max="5" width="14.140625" style="55" customWidth="1"/>
    <col min="6" max="6" width="16.85546875" style="55" customWidth="1"/>
    <col min="7" max="7" width="13.42578125" style="124" customWidth="1"/>
    <col min="8" max="8" width="18.85546875" style="126" customWidth="1"/>
    <col min="9" max="9" width="3.7109375" style="52" customWidth="1"/>
    <col min="10" max="10" width="18" style="55" customWidth="1"/>
    <col min="11" max="11" width="16.140625" style="55" customWidth="1"/>
    <col min="12" max="12" width="14.140625" style="55" customWidth="1"/>
    <col min="13" max="13" width="15.5703125" style="55" customWidth="1"/>
    <col min="14" max="14" width="14.5703125" style="55" customWidth="1"/>
    <col min="15" max="15" width="17.42578125" style="55" customWidth="1"/>
    <col min="16" max="16" width="14.28515625" style="55" customWidth="1"/>
    <col min="17" max="17" width="15" style="55" customWidth="1"/>
    <col min="18" max="18" width="16.140625" style="55" customWidth="1"/>
    <col min="19" max="19" width="13.140625" style="55" customWidth="1"/>
    <col min="20" max="20" width="14" style="55" customWidth="1"/>
    <col min="21" max="21" width="12.85546875" style="55" customWidth="1"/>
    <col min="22" max="22" width="14.42578125" style="55" customWidth="1"/>
    <col min="23" max="23" width="14.28515625" style="55" customWidth="1"/>
    <col min="24" max="24" width="15.42578125" style="55" customWidth="1"/>
    <col min="25" max="25" width="13.5703125" style="55" customWidth="1"/>
    <col min="26" max="26" width="14.140625" style="55" customWidth="1"/>
    <col min="27" max="27" width="16.85546875" style="55" customWidth="1"/>
    <col min="28" max="28" width="14.140625" style="124" customWidth="1"/>
    <col min="29" max="29" width="18.42578125" style="55" bestFit="1" customWidth="1"/>
    <col min="30" max="30" width="16.85546875" style="55" bestFit="1" customWidth="1"/>
    <col min="31" max="31" width="13.140625" style="124" bestFit="1" customWidth="1"/>
    <col min="32" max="32" width="14.140625" style="124" customWidth="1"/>
    <col min="33" max="33" width="17.5703125" style="126" customWidth="1"/>
    <col min="34" max="34" width="3.7109375" style="52" customWidth="1"/>
    <col min="35" max="36" width="15.5703125" style="55" bestFit="1" customWidth="1"/>
    <col min="37" max="37" width="16.28515625" style="55" bestFit="1" customWidth="1"/>
    <col min="38" max="38" width="13.85546875" style="55" bestFit="1" customWidth="1"/>
    <col min="39" max="39" width="16.140625" style="55" bestFit="1" customWidth="1"/>
    <col min="40" max="40" width="3.7109375" style="52" customWidth="1"/>
    <col min="41" max="43" width="18.42578125" style="55" customWidth="1"/>
    <col min="44" max="44" width="20.140625" style="55" customWidth="1"/>
    <col min="45" max="45" width="16.140625" style="55" bestFit="1" customWidth="1"/>
    <col min="46" max="16384" width="9.7109375" style="55"/>
  </cols>
  <sheetData>
    <row r="1" spans="1:45" ht="33" customHeight="1">
      <c r="A1" s="252" t="s">
        <v>225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</row>
    <row r="2" spans="1:45" ht="26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5" ht="18.75" thickBot="1">
      <c r="B3" s="254" t="s">
        <v>81</v>
      </c>
      <c r="C3" s="254"/>
      <c r="D3" s="254"/>
      <c r="E3" s="254"/>
      <c r="F3" s="254"/>
      <c r="G3" s="254"/>
      <c r="H3" s="254"/>
      <c r="J3" s="254" t="s">
        <v>170</v>
      </c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I3" s="253"/>
      <c r="AJ3" s="253"/>
      <c r="AK3" s="253"/>
      <c r="AL3" s="253"/>
      <c r="AM3" s="253"/>
    </row>
    <row r="4" spans="1:45" ht="64.5" thickBot="1">
      <c r="A4" s="48" t="s">
        <v>0</v>
      </c>
      <c r="B4" s="48" t="s">
        <v>139</v>
      </c>
      <c r="C4" s="49" t="s">
        <v>140</v>
      </c>
      <c r="D4" s="50">
        <v>0.85</v>
      </c>
      <c r="E4" s="48" t="s">
        <v>59</v>
      </c>
      <c r="F4" s="49" t="s">
        <v>141</v>
      </c>
      <c r="G4" s="50">
        <v>0.15</v>
      </c>
      <c r="H4" s="166" t="s">
        <v>142</v>
      </c>
      <c r="J4" s="48" t="s">
        <v>123</v>
      </c>
      <c r="K4" s="48" t="s">
        <v>124</v>
      </c>
      <c r="L4" s="48" t="s">
        <v>143</v>
      </c>
      <c r="M4" s="48" t="s">
        <v>144</v>
      </c>
      <c r="N4" s="48" t="s">
        <v>125</v>
      </c>
      <c r="O4" s="48" t="s">
        <v>151</v>
      </c>
      <c r="P4" s="48" t="s">
        <v>152</v>
      </c>
      <c r="Q4" s="48" t="s">
        <v>147</v>
      </c>
      <c r="R4" s="48" t="s">
        <v>64</v>
      </c>
      <c r="S4" s="48" t="s">
        <v>134</v>
      </c>
      <c r="T4" s="48" t="s">
        <v>135</v>
      </c>
      <c r="U4" s="48" t="s">
        <v>154</v>
      </c>
      <c r="V4" s="48" t="s">
        <v>153</v>
      </c>
      <c r="W4" s="48" t="s">
        <v>125</v>
      </c>
      <c r="X4" s="48" t="s">
        <v>146</v>
      </c>
      <c r="Y4" s="48" t="s">
        <v>149</v>
      </c>
      <c r="Z4" s="48" t="s">
        <v>148</v>
      </c>
      <c r="AA4" s="48" t="s">
        <v>63</v>
      </c>
      <c r="AB4" s="50">
        <v>0.85</v>
      </c>
      <c r="AC4" s="48" t="s">
        <v>150</v>
      </c>
      <c r="AD4" s="53" t="s">
        <v>65</v>
      </c>
      <c r="AE4" s="54" t="s">
        <v>67</v>
      </c>
      <c r="AF4" s="50">
        <v>0.15</v>
      </c>
      <c r="AG4" s="166" t="s">
        <v>145</v>
      </c>
      <c r="AI4" s="49" t="s">
        <v>220</v>
      </c>
      <c r="AJ4" s="48" t="s">
        <v>221</v>
      </c>
      <c r="AK4" s="49" t="s">
        <v>71</v>
      </c>
      <c r="AL4" s="53" t="s">
        <v>72</v>
      </c>
      <c r="AM4" s="168" t="s">
        <v>155</v>
      </c>
      <c r="AO4" s="22" t="s">
        <v>172</v>
      </c>
      <c r="AP4" s="22" t="s">
        <v>174</v>
      </c>
      <c r="AQ4" s="22" t="s">
        <v>175</v>
      </c>
      <c r="AR4" s="22" t="s">
        <v>100</v>
      </c>
      <c r="AS4" s="22" t="s">
        <v>156</v>
      </c>
    </row>
    <row r="5" spans="1:45">
      <c r="A5" s="172"/>
      <c r="B5" s="172"/>
      <c r="C5" s="173"/>
      <c r="D5" s="174"/>
      <c r="E5" s="175"/>
      <c r="F5" s="173"/>
      <c r="G5" s="174"/>
      <c r="H5" s="178"/>
      <c r="I5" s="187"/>
      <c r="J5" s="175"/>
      <c r="K5" s="175"/>
      <c r="L5" s="175"/>
      <c r="M5" s="175"/>
      <c r="N5" s="175"/>
      <c r="O5" s="175"/>
      <c r="P5" s="175"/>
      <c r="Q5" s="175"/>
      <c r="R5" s="172"/>
      <c r="S5" s="175"/>
      <c r="T5" s="175"/>
      <c r="U5" s="175"/>
      <c r="V5" s="175"/>
      <c r="W5" s="175"/>
      <c r="X5" s="175"/>
      <c r="Y5" s="175"/>
      <c r="Z5" s="175"/>
      <c r="AA5" s="172"/>
      <c r="AB5" s="174"/>
      <c r="AC5" s="172"/>
      <c r="AD5" s="176"/>
      <c r="AE5" s="177"/>
      <c r="AF5" s="174"/>
      <c r="AG5" s="178"/>
      <c r="AH5" s="187"/>
      <c r="AI5" s="173" t="s">
        <v>180</v>
      </c>
      <c r="AJ5" s="172" t="s">
        <v>180</v>
      </c>
      <c r="AK5" s="173"/>
      <c r="AL5" s="176"/>
      <c r="AM5" s="179"/>
      <c r="AN5" s="187"/>
      <c r="AO5" s="180" t="s">
        <v>180</v>
      </c>
      <c r="AP5" s="180" t="s">
        <v>180</v>
      </c>
      <c r="AQ5" s="180" t="s">
        <v>180</v>
      </c>
      <c r="AR5" s="180" t="s">
        <v>180</v>
      </c>
      <c r="AS5" s="180"/>
    </row>
    <row r="6" spans="1:45" s="58" customFormat="1" ht="22.5">
      <c r="A6" s="181"/>
      <c r="B6" s="181" t="s">
        <v>58</v>
      </c>
      <c r="C6" s="151" t="s">
        <v>112</v>
      </c>
      <c r="D6" s="182" t="s">
        <v>115</v>
      </c>
      <c r="E6" s="56" t="s">
        <v>70</v>
      </c>
      <c r="F6" s="151" t="s">
        <v>116</v>
      </c>
      <c r="G6" s="182" t="s">
        <v>117</v>
      </c>
      <c r="H6" s="183" t="s">
        <v>94</v>
      </c>
      <c r="I6" s="57"/>
      <c r="J6" s="56" t="s">
        <v>126</v>
      </c>
      <c r="K6" s="56" t="s">
        <v>127</v>
      </c>
      <c r="L6" s="56" t="s">
        <v>128</v>
      </c>
      <c r="M6" s="56" t="s">
        <v>129</v>
      </c>
      <c r="N6" s="56" t="s">
        <v>130</v>
      </c>
      <c r="O6" s="56" t="s">
        <v>131</v>
      </c>
      <c r="P6" s="56" t="s">
        <v>132</v>
      </c>
      <c r="Q6" s="56" t="s">
        <v>133</v>
      </c>
      <c r="R6" s="181" t="s">
        <v>61</v>
      </c>
      <c r="S6" s="56" t="s">
        <v>126</v>
      </c>
      <c r="T6" s="56" t="s">
        <v>127</v>
      </c>
      <c r="U6" s="56" t="s">
        <v>128</v>
      </c>
      <c r="V6" s="56" t="s">
        <v>129</v>
      </c>
      <c r="W6" s="56" t="s">
        <v>130</v>
      </c>
      <c r="X6" s="56" t="s">
        <v>131</v>
      </c>
      <c r="Y6" s="56" t="s">
        <v>132</v>
      </c>
      <c r="Z6" s="56" t="s">
        <v>133</v>
      </c>
      <c r="AA6" s="151" t="s">
        <v>60</v>
      </c>
      <c r="AB6" s="182" t="s">
        <v>118</v>
      </c>
      <c r="AC6" s="151" t="s">
        <v>66</v>
      </c>
      <c r="AD6" s="151" t="s">
        <v>62</v>
      </c>
      <c r="AE6" s="182" t="s">
        <v>119</v>
      </c>
      <c r="AF6" s="182" t="s">
        <v>121</v>
      </c>
      <c r="AG6" s="184" t="s">
        <v>68</v>
      </c>
      <c r="AH6" s="57"/>
      <c r="AI6" s="185" t="s">
        <v>69</v>
      </c>
      <c r="AJ6" s="151" t="s">
        <v>54</v>
      </c>
      <c r="AK6" s="151" t="s">
        <v>55</v>
      </c>
      <c r="AL6" s="151" t="s">
        <v>56</v>
      </c>
      <c r="AM6" s="186" t="s">
        <v>114</v>
      </c>
      <c r="AN6" s="57"/>
      <c r="AO6" s="56">
        <f>+AR6*0.425</f>
        <v>2286265367.4450002</v>
      </c>
      <c r="AP6" s="56">
        <f>+AR6*0.275</f>
        <v>1479348178.9350002</v>
      </c>
      <c r="AQ6" s="56">
        <f>+AR6*0.3</f>
        <v>1613834377.0200002</v>
      </c>
      <c r="AR6" s="56">
        <f>+'PARTICIPACIONES 2015'!E20+'PARTICIPACIONES 2015'!F20+'PARTICIPACIONES 2015'!G20</f>
        <v>5379447923.4000006</v>
      </c>
    </row>
    <row r="7" spans="1:45" s="66" customFormat="1" ht="23.25" customHeight="1" thickBot="1">
      <c r="A7" s="59"/>
      <c r="B7" s="59"/>
      <c r="C7" s="60"/>
      <c r="D7" s="61"/>
      <c r="E7" s="60"/>
      <c r="F7" s="60"/>
      <c r="G7" s="61"/>
      <c r="H7" s="62"/>
      <c r="I7" s="60"/>
      <c r="J7" s="56"/>
      <c r="K7" s="56"/>
      <c r="L7" s="56"/>
      <c r="M7" s="56"/>
      <c r="N7" s="56"/>
      <c r="O7" s="56"/>
      <c r="P7" s="56"/>
      <c r="Q7" s="56"/>
      <c r="R7" s="59"/>
      <c r="S7" s="56"/>
      <c r="T7" s="56"/>
      <c r="U7" s="56"/>
      <c r="V7" s="56"/>
      <c r="W7" s="56"/>
      <c r="X7" s="56"/>
      <c r="Y7" s="56"/>
      <c r="Z7" s="56"/>
      <c r="AA7" s="60"/>
      <c r="AB7" s="63"/>
      <c r="AC7" s="60"/>
      <c r="AD7" s="60"/>
      <c r="AE7" s="61"/>
      <c r="AF7" s="61"/>
      <c r="AG7" s="62"/>
      <c r="AH7" s="60"/>
      <c r="AI7" s="60"/>
      <c r="AJ7" s="60"/>
      <c r="AK7" s="60"/>
      <c r="AL7" s="60"/>
      <c r="AM7" s="64"/>
      <c r="AN7" s="60"/>
      <c r="AO7" s="56" t="s">
        <v>95</v>
      </c>
      <c r="AP7" s="56" t="s">
        <v>213</v>
      </c>
      <c r="AQ7" s="56" t="s">
        <v>212</v>
      </c>
      <c r="AR7" s="65" t="s">
        <v>214</v>
      </c>
      <c r="AS7" s="65" t="s">
        <v>97</v>
      </c>
    </row>
    <row r="8" spans="1:45" ht="15" thickTop="1">
      <c r="A8" s="5" t="s">
        <v>1</v>
      </c>
      <c r="B8" s="67">
        <v>2791</v>
      </c>
      <c r="C8" s="191">
        <f t="shared" ref="C8:C39" si="0">+B8/$B$59</f>
        <v>5.9976903197579094E-4</v>
      </c>
      <c r="D8" s="69">
        <f>+C8*D$4</f>
        <v>5.0980367717942232E-4</v>
      </c>
      <c r="E8" s="70">
        <v>47.45</v>
      </c>
      <c r="F8" s="188">
        <f t="shared" ref="F8:F39" si="1">+E8/$E$59</f>
        <v>7.3886478603129777E-4</v>
      </c>
      <c r="G8" s="71">
        <f>+F8*G$4</f>
        <v>1.1082971790469465E-4</v>
      </c>
      <c r="H8" s="72">
        <f>+G8+D8</f>
        <v>6.20633395084117E-4</v>
      </c>
      <c r="J8" s="73">
        <v>334</v>
      </c>
      <c r="K8" s="74">
        <v>78</v>
      </c>
      <c r="L8" s="74">
        <v>539</v>
      </c>
      <c r="M8" s="74">
        <v>28</v>
      </c>
      <c r="N8" s="75">
        <f>+J8/J$59*0.25</f>
        <v>1.9531661173630621E-4</v>
      </c>
      <c r="O8" s="75">
        <f t="shared" ref="O8:Q23" si="2">+K8/K$59*0.25</f>
        <v>2.2168411718563488E-4</v>
      </c>
      <c r="P8" s="75">
        <f t="shared" si="2"/>
        <v>4.0332477297080497E-4</v>
      </c>
      <c r="Q8" s="75">
        <f t="shared" si="2"/>
        <v>1.788314641187441E-4</v>
      </c>
      <c r="R8" s="76">
        <f>SUM(N8:Q8)</f>
        <v>9.9915696601149016E-4</v>
      </c>
      <c r="S8" s="77">
        <v>194.999999997044</v>
      </c>
      <c r="T8" s="77">
        <v>51</v>
      </c>
      <c r="U8" s="77">
        <v>69</v>
      </c>
      <c r="V8" s="77">
        <v>52</v>
      </c>
      <c r="W8" s="78">
        <f>+S8/S$59*0.25</f>
        <v>1.5336072329640257E-4</v>
      </c>
      <c r="X8" s="78">
        <f t="shared" ref="X8:Z58" si="3">+T8/T$59*0.25</f>
        <v>1.7408044564594084E-4</v>
      </c>
      <c r="Y8" s="78">
        <f t="shared" si="3"/>
        <v>1.4011176451476657E-4</v>
      </c>
      <c r="Z8" s="78">
        <f t="shared" si="3"/>
        <v>9.4710767885764239E-4</v>
      </c>
      <c r="AA8" s="68">
        <f>SUM(W8:Z8)</f>
        <v>1.4146606123147524E-3</v>
      </c>
      <c r="AB8" s="79">
        <f t="shared" ref="AB8:AB39" si="4">+AA8*AB$4</f>
        <v>1.2024615204675394E-3</v>
      </c>
      <c r="AC8" s="68">
        <f t="shared" ref="AC8:AC58" si="5">+(AA8-R8)/R8</f>
        <v>0.415854225549666</v>
      </c>
      <c r="AD8" s="68">
        <f t="shared" ref="AD8:AD58" si="6">IF(AC8&gt;0,0,AC8)</f>
        <v>0</v>
      </c>
      <c r="AE8" s="69">
        <f>+AD8/AD$59</f>
        <v>0</v>
      </c>
      <c r="AF8" s="69">
        <f t="shared" ref="AF8:AF39" si="7">+AE8*AF$4</f>
        <v>0</v>
      </c>
      <c r="AG8" s="72">
        <f t="shared" ref="AG8:AG58" si="8">+AF8+AB8</f>
        <v>1.2024615204675394E-3</v>
      </c>
      <c r="AI8" s="70">
        <v>450842</v>
      </c>
      <c r="AJ8" s="70">
        <v>108913</v>
      </c>
      <c r="AK8" s="80">
        <f t="shared" ref="AK8:AK39" si="9">+AJ8/AI8</f>
        <v>0.24157687172002609</v>
      </c>
      <c r="AL8" s="81">
        <f>+AK8*AJ8</f>
        <v>26310.861829643203</v>
      </c>
      <c r="AM8" s="72">
        <f>+AL8/AL$59</f>
        <v>2.4039121183822876E-5</v>
      </c>
      <c r="AO8" s="82">
        <f t="shared" ref="AO8:AO39" si="10">+H8*AO$6</f>
        <v>1418932.6370606266</v>
      </c>
      <c r="AP8" s="83">
        <f t="shared" ref="AP8:AP39" si="11">+AG8*AP$6</f>
        <v>1778859.2605430658</v>
      </c>
      <c r="AQ8" s="83">
        <f t="shared" ref="AQ8:AQ39" si="12">+AM8*AQ$6</f>
        <v>38795.160159803083</v>
      </c>
      <c r="AR8" s="83">
        <f t="shared" ref="AR8:AR39" si="13">SUM(AO8:AQ8)</f>
        <v>3236587.0577634955</v>
      </c>
      <c r="AS8" s="84">
        <f>+AR8/AR$59</f>
        <v>6.0165784739446971E-4</v>
      </c>
    </row>
    <row r="9" spans="1:45" ht="14.25">
      <c r="A9" s="7" t="s">
        <v>2</v>
      </c>
      <c r="B9" s="85">
        <v>3443</v>
      </c>
      <c r="C9" s="192">
        <f t="shared" si="0"/>
        <v>7.3987989146995627E-4</v>
      </c>
      <c r="D9" s="87">
        <f t="shared" ref="D9:D58" si="14">+C9*D$4</f>
        <v>6.2889790774946284E-4</v>
      </c>
      <c r="E9" s="88">
        <v>978.99</v>
      </c>
      <c r="F9" s="189">
        <f t="shared" si="1"/>
        <v>1.524428317970032E-2</v>
      </c>
      <c r="G9" s="89">
        <f t="shared" ref="G9:G58" si="15">+F9*G$4</f>
        <v>2.2866424769550477E-3</v>
      </c>
      <c r="H9" s="90">
        <f t="shared" ref="H9:H58" si="16">+G9+D9</f>
        <v>2.9155403847045108E-3</v>
      </c>
      <c r="J9" s="91">
        <v>768</v>
      </c>
      <c r="K9" s="92">
        <v>191</v>
      </c>
      <c r="L9" s="92">
        <v>961</v>
      </c>
      <c r="M9" s="92">
        <v>102</v>
      </c>
      <c r="N9" s="93">
        <f t="shared" ref="N9:Q58" si="17">+J9/J$59*0.25</f>
        <v>4.4911125093857236E-4</v>
      </c>
      <c r="O9" s="93">
        <f t="shared" si="2"/>
        <v>5.4284187669815717E-4</v>
      </c>
      <c r="P9" s="93">
        <f t="shared" si="2"/>
        <v>7.1910038371974692E-4</v>
      </c>
      <c r="Q9" s="93">
        <f t="shared" si="2"/>
        <v>6.514574764325678E-4</v>
      </c>
      <c r="R9" s="94">
        <f t="shared" ref="R9:R58" si="18">SUM(N9:Q9)</f>
        <v>2.3625109877890441E-3</v>
      </c>
      <c r="S9" s="95">
        <v>468.99999999269994</v>
      </c>
      <c r="T9" s="95">
        <v>120</v>
      </c>
      <c r="U9" s="95">
        <v>175</v>
      </c>
      <c r="V9" s="95">
        <v>44</v>
      </c>
      <c r="W9" s="96">
        <f t="shared" ref="W9:W58" si="19">+S9/S$59*0.25</f>
        <v>3.6885220115889019E-4</v>
      </c>
      <c r="X9" s="96">
        <f t="shared" si="3"/>
        <v>4.0960104857868437E-4</v>
      </c>
      <c r="Y9" s="96">
        <f t="shared" si="3"/>
        <v>3.5535592449397314E-4</v>
      </c>
      <c r="Z9" s="96">
        <f t="shared" si="3"/>
        <v>8.0139880518723594E-4</v>
      </c>
      <c r="AA9" s="86">
        <f t="shared" ref="AA9:AA58" si="20">SUM(W9:Z9)</f>
        <v>1.9352079794187835E-3</v>
      </c>
      <c r="AB9" s="97">
        <f t="shared" si="4"/>
        <v>1.644926782505966E-3</v>
      </c>
      <c r="AC9" s="86">
        <f t="shared" si="5"/>
        <v>-0.1808681570493571</v>
      </c>
      <c r="AD9" s="86">
        <f t="shared" si="6"/>
        <v>-0.1808681570493571</v>
      </c>
      <c r="AE9" s="87">
        <f t="shared" ref="AE9:AE58" si="21">+AD9/AD$59</f>
        <v>3.3703048799913031E-2</v>
      </c>
      <c r="AF9" s="87">
        <f t="shared" si="7"/>
        <v>5.0554573199869546E-3</v>
      </c>
      <c r="AG9" s="90">
        <f t="shared" si="8"/>
        <v>6.7003841024929206E-3</v>
      </c>
      <c r="AI9" s="88">
        <v>2452853</v>
      </c>
      <c r="AJ9" s="88">
        <v>822594</v>
      </c>
      <c r="AK9" s="98">
        <f t="shared" si="9"/>
        <v>0.33536212728606241</v>
      </c>
      <c r="AL9" s="99">
        <f t="shared" ref="AL9:AL58" si="22">+AK9*AJ9</f>
        <v>275866.87373275124</v>
      </c>
      <c r="AM9" s="90">
        <f t="shared" ref="AM9:AM58" si="23">+AL9/AL$59</f>
        <v>2.5204789000079288E-4</v>
      </c>
      <c r="AO9" s="100">
        <f t="shared" si="10"/>
        <v>6665699.0089371959</v>
      </c>
      <c r="AP9" s="101">
        <f t="shared" si="11"/>
        <v>9912201.0201879274</v>
      </c>
      <c r="AQ9" s="101">
        <f t="shared" si="12"/>
        <v>406763.54953863512</v>
      </c>
      <c r="AR9" s="101">
        <f t="shared" si="13"/>
        <v>16984663.578663759</v>
      </c>
      <c r="AS9" s="102">
        <f t="shared" ref="AS9:AS58" si="24">+AR9/AR$59</f>
        <v>3.1573246586852071E-3</v>
      </c>
    </row>
    <row r="10" spans="1:45" ht="14.25">
      <c r="A10" s="7" t="s">
        <v>3</v>
      </c>
      <c r="B10" s="85">
        <v>1374</v>
      </c>
      <c r="C10" s="192">
        <f t="shared" si="0"/>
        <v>2.9526429592788847E-4</v>
      </c>
      <c r="D10" s="87">
        <f t="shared" si="14"/>
        <v>2.509746515387052E-4</v>
      </c>
      <c r="E10" s="88">
        <v>696.75</v>
      </c>
      <c r="F10" s="189">
        <f t="shared" si="1"/>
        <v>1.0849400203736705E-2</v>
      </c>
      <c r="G10" s="89">
        <f t="shared" si="15"/>
        <v>1.6274100305605057E-3</v>
      </c>
      <c r="H10" s="90">
        <f t="shared" si="16"/>
        <v>1.8783846820992108E-3</v>
      </c>
      <c r="J10" s="91">
        <v>363</v>
      </c>
      <c r="K10" s="92">
        <v>91</v>
      </c>
      <c r="L10" s="92">
        <v>728</v>
      </c>
      <c r="M10" s="92">
        <v>81</v>
      </c>
      <c r="N10" s="93">
        <f t="shared" si="17"/>
        <v>2.1227523970143459E-4</v>
      </c>
      <c r="O10" s="93">
        <f t="shared" si="2"/>
        <v>2.5863147004990736E-4</v>
      </c>
      <c r="P10" s="93">
        <f t="shared" si="2"/>
        <v>5.4475034271381456E-4</v>
      </c>
      <c r="Q10" s="93">
        <f t="shared" si="2"/>
        <v>5.1733387834350972E-4</v>
      </c>
      <c r="R10" s="94">
        <f t="shared" si="18"/>
        <v>1.5329909308086662E-3</v>
      </c>
      <c r="S10" s="95">
        <v>209.00000000199</v>
      </c>
      <c r="T10" s="95">
        <v>60</v>
      </c>
      <c r="U10" s="95">
        <v>193</v>
      </c>
      <c r="V10" s="95">
        <v>19</v>
      </c>
      <c r="W10" s="96">
        <f t="shared" si="19"/>
        <v>1.6437123676789337E-4</v>
      </c>
      <c r="X10" s="96">
        <f t="shared" si="3"/>
        <v>2.0480052428934218E-4</v>
      </c>
      <c r="Y10" s="96">
        <f t="shared" si="3"/>
        <v>3.9190681958478185E-4</v>
      </c>
      <c r="Z10" s="96">
        <f t="shared" si="3"/>
        <v>3.4605857496721549E-4</v>
      </c>
      <c r="AA10" s="86">
        <f t="shared" si="20"/>
        <v>1.107137155609233E-3</v>
      </c>
      <c r="AB10" s="97">
        <f t="shared" si="4"/>
        <v>9.4106658226784804E-4</v>
      </c>
      <c r="AC10" s="86">
        <f t="shared" si="5"/>
        <v>-0.27779275574369616</v>
      </c>
      <c r="AD10" s="86">
        <f t="shared" si="6"/>
        <v>-0.27779275574369616</v>
      </c>
      <c r="AE10" s="87">
        <f t="shared" si="21"/>
        <v>5.1764019470476444E-2</v>
      </c>
      <c r="AF10" s="87">
        <f t="shared" si="7"/>
        <v>7.7646029205714661E-3</v>
      </c>
      <c r="AG10" s="90">
        <f t="shared" si="8"/>
        <v>8.7056695028393145E-3</v>
      </c>
      <c r="AI10" s="88">
        <v>885299</v>
      </c>
      <c r="AJ10" s="88">
        <v>248790</v>
      </c>
      <c r="AK10" s="98">
        <f t="shared" si="9"/>
        <v>0.28102369933773785</v>
      </c>
      <c r="AL10" s="99">
        <f t="shared" si="22"/>
        <v>69915.886158235808</v>
      </c>
      <c r="AM10" s="90">
        <f t="shared" si="23"/>
        <v>6.3879186889218934E-5</v>
      </c>
      <c r="AO10" s="100">
        <f t="shared" si="10"/>
        <v>4294485.8454226116</v>
      </c>
      <c r="AP10" s="101">
        <f t="shared" si="11"/>
        <v>12878716.325435309</v>
      </c>
      <c r="AQ10" s="101">
        <f t="shared" si="12"/>
        <v>103090.42777790681</v>
      </c>
      <c r="AR10" s="101">
        <f t="shared" si="13"/>
        <v>17276292.598635826</v>
      </c>
      <c r="AS10" s="102">
        <f t="shared" si="24"/>
        <v>3.2115363592397405E-3</v>
      </c>
    </row>
    <row r="11" spans="1:45" ht="13.5" customHeight="1">
      <c r="A11" s="7" t="s">
        <v>4</v>
      </c>
      <c r="B11" s="85">
        <v>32593</v>
      </c>
      <c r="C11" s="192">
        <f t="shared" si="0"/>
        <v>7.0040387170143149E-3</v>
      </c>
      <c r="D11" s="87">
        <f t="shared" si="14"/>
        <v>5.9534329094621677E-3</v>
      </c>
      <c r="E11" s="88">
        <v>190.52</v>
      </c>
      <c r="F11" s="189">
        <f t="shared" si="1"/>
        <v>2.9666705802883636E-3</v>
      </c>
      <c r="G11" s="89">
        <f t="shared" si="15"/>
        <v>4.4500058704325453E-4</v>
      </c>
      <c r="H11" s="90">
        <f t="shared" si="16"/>
        <v>6.3984334965054221E-3</v>
      </c>
      <c r="J11" s="91">
        <v>3420</v>
      </c>
      <c r="K11" s="92">
        <v>773</v>
      </c>
      <c r="L11" s="92">
        <v>6993</v>
      </c>
      <c r="M11" s="92">
        <v>216</v>
      </c>
      <c r="N11" s="93">
        <f t="shared" si="17"/>
        <v>1.99994853933583E-3</v>
      </c>
      <c r="O11" s="93">
        <f t="shared" si="2"/>
        <v>2.196946443390971E-3</v>
      </c>
      <c r="P11" s="93">
        <f t="shared" si="2"/>
        <v>5.2327460804913531E-3</v>
      </c>
      <c r="Q11" s="93">
        <f t="shared" si="2"/>
        <v>1.3795570089160259E-3</v>
      </c>
      <c r="R11" s="94">
        <f t="shared" si="18"/>
        <v>1.080919807213418E-2</v>
      </c>
      <c r="S11" s="95">
        <v>2055.0000000045479</v>
      </c>
      <c r="T11" s="95">
        <v>629</v>
      </c>
      <c r="U11" s="95">
        <v>1238</v>
      </c>
      <c r="V11" s="95">
        <v>59</v>
      </c>
      <c r="W11" s="96">
        <f t="shared" si="19"/>
        <v>1.6161860839978574E-3</v>
      </c>
      <c r="X11" s="96">
        <f t="shared" si="3"/>
        <v>2.1469921629666037E-3</v>
      </c>
      <c r="Y11" s="96">
        <f t="shared" si="3"/>
        <v>2.5138893401345074E-3</v>
      </c>
      <c r="Z11" s="96">
        <f t="shared" si="3"/>
        <v>1.074602943319248E-3</v>
      </c>
      <c r="AA11" s="86">
        <f t="shared" si="20"/>
        <v>7.3516705304182165E-3</v>
      </c>
      <c r="AB11" s="97">
        <f t="shared" si="4"/>
        <v>6.2489199508554841E-3</v>
      </c>
      <c r="AC11" s="86">
        <f t="shared" si="5"/>
        <v>-0.31986901513345156</v>
      </c>
      <c r="AD11" s="86">
        <f t="shared" si="6"/>
        <v>-0.31986901513345156</v>
      </c>
      <c r="AE11" s="87">
        <f t="shared" si="21"/>
        <v>5.9604527422043294E-2</v>
      </c>
      <c r="AF11" s="87">
        <f t="shared" si="7"/>
        <v>8.9406791133064944E-3</v>
      </c>
      <c r="AG11" s="90">
        <f t="shared" si="8"/>
        <v>1.5189599064161979E-2</v>
      </c>
      <c r="AI11" s="88">
        <v>29940299</v>
      </c>
      <c r="AJ11" s="88">
        <v>10547796</v>
      </c>
      <c r="AK11" s="98">
        <f t="shared" si="9"/>
        <v>0.35229427735507918</v>
      </c>
      <c r="AL11" s="99">
        <f t="shared" si="22"/>
        <v>3715928.1695087948</v>
      </c>
      <c r="AM11" s="90">
        <f t="shared" si="23"/>
        <v>3.3950863394585501E-3</v>
      </c>
      <c r="AO11" s="100">
        <f t="shared" si="10"/>
        <v>14628516.908960367</v>
      </c>
      <c r="AP11" s="101">
        <f t="shared" si="11"/>
        <v>22470705.714320809</v>
      </c>
      <c r="AQ11" s="101">
        <f t="shared" si="12"/>
        <v>5479107.0475692023</v>
      </c>
      <c r="AR11" s="101">
        <f t="shared" si="13"/>
        <v>42578329.670850374</v>
      </c>
      <c r="AS11" s="102">
        <f t="shared" si="24"/>
        <v>7.9149998804969104E-3</v>
      </c>
    </row>
    <row r="12" spans="1:45" ht="14.25">
      <c r="A12" s="7" t="s">
        <v>5</v>
      </c>
      <c r="B12" s="85">
        <v>18480</v>
      </c>
      <c r="C12" s="192">
        <f t="shared" si="0"/>
        <v>3.9712403120432159E-3</v>
      </c>
      <c r="D12" s="87">
        <f t="shared" si="14"/>
        <v>3.3755542652367334E-3</v>
      </c>
      <c r="E12" s="88">
        <v>4572.87</v>
      </c>
      <c r="F12" s="189">
        <f t="shared" si="1"/>
        <v>7.1206166788175776E-2</v>
      </c>
      <c r="G12" s="89">
        <f t="shared" si="15"/>
        <v>1.0680925018226366E-2</v>
      </c>
      <c r="H12" s="90">
        <f t="shared" si="16"/>
        <v>1.4056479283463099E-2</v>
      </c>
      <c r="J12" s="91">
        <v>3207</v>
      </c>
      <c r="K12" s="92">
        <v>706</v>
      </c>
      <c r="L12" s="92">
        <v>5696</v>
      </c>
      <c r="M12" s="92">
        <v>1464</v>
      </c>
      <c r="N12" s="93">
        <f t="shared" si="17"/>
        <v>1.8753903408333353E-3</v>
      </c>
      <c r="O12" s="93">
        <f t="shared" si="2"/>
        <v>2.0065254709366437E-3</v>
      </c>
      <c r="P12" s="93">
        <f t="shared" si="2"/>
        <v>4.2622224616729225E-3</v>
      </c>
      <c r="Q12" s="93">
        <f t="shared" si="2"/>
        <v>9.3503308382086193E-3</v>
      </c>
      <c r="R12" s="94">
        <f t="shared" si="18"/>
        <v>1.749446911165152E-2</v>
      </c>
      <c r="S12" s="95">
        <v>2802.0000000077798</v>
      </c>
      <c r="T12" s="95">
        <v>510</v>
      </c>
      <c r="U12" s="95">
        <v>1865</v>
      </c>
      <c r="V12" s="95">
        <v>534</v>
      </c>
      <c r="W12" s="96">
        <f t="shared" si="19"/>
        <v>2.2036756240216781E-3</v>
      </c>
      <c r="X12" s="96">
        <f t="shared" si="3"/>
        <v>1.7408044564594086E-3</v>
      </c>
      <c r="Y12" s="96">
        <f t="shared" si="3"/>
        <v>3.7870788524643428E-3</v>
      </c>
      <c r="Z12" s="96">
        <f t="shared" si="3"/>
        <v>9.7260673174996357E-3</v>
      </c>
      <c r="AA12" s="86">
        <f t="shared" si="20"/>
        <v>1.7457626250445064E-2</v>
      </c>
      <c r="AB12" s="97">
        <f t="shared" si="4"/>
        <v>1.4838982312878304E-2</v>
      </c>
      <c r="AC12" s="86">
        <f t="shared" si="5"/>
        <v>-2.1059719486953626E-3</v>
      </c>
      <c r="AD12" s="86">
        <f t="shared" si="6"/>
        <v>-2.1059719486953626E-3</v>
      </c>
      <c r="AE12" s="87">
        <f t="shared" si="21"/>
        <v>3.9242770267603632E-4</v>
      </c>
      <c r="AF12" s="87">
        <f t="shared" si="7"/>
        <v>5.8864155401405446E-5</v>
      </c>
      <c r="AG12" s="90">
        <f t="shared" si="8"/>
        <v>1.4897846468279709E-2</v>
      </c>
      <c r="AI12" s="88">
        <v>10019260</v>
      </c>
      <c r="AJ12" s="88">
        <v>1700442</v>
      </c>
      <c r="AK12" s="98">
        <f t="shared" si="9"/>
        <v>0.16971732443314178</v>
      </c>
      <c r="AL12" s="99">
        <f t="shared" si="22"/>
        <v>288594.46659374045</v>
      </c>
      <c r="AM12" s="90">
        <f t="shared" si="23"/>
        <v>2.6367655306567845E-4</v>
      </c>
      <c r="AO12" s="100">
        <f t="shared" si="10"/>
        <v>32136841.773989793</v>
      </c>
      <c r="AP12" s="101">
        <f t="shared" si="11"/>
        <v>22039102.042902812</v>
      </c>
      <c r="AQ12" s="101">
        <f t="shared" si="12"/>
        <v>425530.2857515302</v>
      </c>
      <c r="AR12" s="101">
        <f t="shared" si="13"/>
        <v>54601474.102644138</v>
      </c>
      <c r="AS12" s="102">
        <f t="shared" si="24"/>
        <v>1.0150014440168437E-2</v>
      </c>
    </row>
    <row r="13" spans="1:45" ht="14.25">
      <c r="A13" s="7" t="s">
        <v>6</v>
      </c>
      <c r="B13" s="85">
        <v>523370</v>
      </c>
      <c r="C13" s="192">
        <f t="shared" si="0"/>
        <v>0.11246904989794686</v>
      </c>
      <c r="D13" s="87">
        <f t="shared" si="14"/>
        <v>9.5598692413254832E-2</v>
      </c>
      <c r="E13" s="88">
        <v>238.03</v>
      </c>
      <c r="F13" s="189">
        <f t="shared" si="1"/>
        <v>3.7064696526665922E-3</v>
      </c>
      <c r="G13" s="89">
        <f t="shared" si="15"/>
        <v>5.5597044789998883E-4</v>
      </c>
      <c r="H13" s="90">
        <f t="shared" si="16"/>
        <v>9.6154662861154816E-2</v>
      </c>
      <c r="J13" s="91">
        <v>27572</v>
      </c>
      <c r="K13" s="92">
        <v>4134</v>
      </c>
      <c r="L13" s="92">
        <v>4960</v>
      </c>
      <c r="M13" s="92">
        <v>1244</v>
      </c>
      <c r="N13" s="93">
        <f t="shared" si="17"/>
        <v>1.6123561732914474E-2</v>
      </c>
      <c r="O13" s="93">
        <f t="shared" si="2"/>
        <v>1.1749258210838649E-2</v>
      </c>
      <c r="P13" s="93">
        <f t="shared" si="2"/>
        <v>3.711485851456758E-3</v>
      </c>
      <c r="Q13" s="93">
        <f t="shared" si="2"/>
        <v>7.9452264772756302E-3</v>
      </c>
      <c r="R13" s="94">
        <f t="shared" si="18"/>
        <v>3.9529532272485512E-2</v>
      </c>
      <c r="S13" s="95">
        <v>34239.000000084088</v>
      </c>
      <c r="T13" s="95">
        <v>3826</v>
      </c>
      <c r="U13" s="95">
        <v>1071</v>
      </c>
      <c r="V13" s="95">
        <v>267</v>
      </c>
      <c r="W13" s="96">
        <f t="shared" si="19"/>
        <v>2.6927783615579601E-2</v>
      </c>
      <c r="X13" s="96">
        <f t="shared" si="3"/>
        <v>1.3059446765517053E-2</v>
      </c>
      <c r="Y13" s="96">
        <f t="shared" si="3"/>
        <v>2.1747782579031156E-3</v>
      </c>
      <c r="Z13" s="96">
        <f t="shared" si="3"/>
        <v>4.8630336587498178E-3</v>
      </c>
      <c r="AA13" s="86">
        <f t="shared" si="20"/>
        <v>4.7025042297749592E-2</v>
      </c>
      <c r="AB13" s="97">
        <f t="shared" si="4"/>
        <v>3.9971285953087153E-2</v>
      </c>
      <c r="AC13" s="86">
        <f t="shared" si="5"/>
        <v>0.18961797912497236</v>
      </c>
      <c r="AD13" s="86">
        <f t="shared" si="6"/>
        <v>0</v>
      </c>
      <c r="AE13" s="87">
        <f t="shared" si="21"/>
        <v>0</v>
      </c>
      <c r="AF13" s="87">
        <f t="shared" si="7"/>
        <v>0</v>
      </c>
      <c r="AG13" s="90">
        <f t="shared" si="8"/>
        <v>3.9971285953087153E-2</v>
      </c>
      <c r="AI13" s="88">
        <v>323470933</v>
      </c>
      <c r="AJ13" s="88">
        <v>126621231.12</v>
      </c>
      <c r="AK13" s="98">
        <f t="shared" si="9"/>
        <v>0.39144546913586203</v>
      </c>
      <c r="AL13" s="99">
        <f t="shared" si="22"/>
        <v>49565307.218328819</v>
      </c>
      <c r="AM13" s="90">
        <f t="shared" si="23"/>
        <v>4.5285723989185456E-2</v>
      </c>
      <c r="AO13" s="100">
        <f t="shared" si="10"/>
        <v>219835075.61780822</v>
      </c>
      <c r="AP13" s="101">
        <f t="shared" si="11"/>
        <v>59131449.084389634</v>
      </c>
      <c r="AQ13" s="101">
        <f t="shared" si="12"/>
        <v>73083658.161986783</v>
      </c>
      <c r="AR13" s="101">
        <f t="shared" si="13"/>
        <v>352050182.86418462</v>
      </c>
      <c r="AS13" s="102">
        <f t="shared" si="24"/>
        <v>6.5443552549845366E-2</v>
      </c>
    </row>
    <row r="14" spans="1:45" ht="14.25">
      <c r="A14" s="7" t="s">
        <v>7</v>
      </c>
      <c r="B14" s="85">
        <v>15470</v>
      </c>
      <c r="C14" s="192">
        <f t="shared" si="0"/>
        <v>3.3244095036422377E-3</v>
      </c>
      <c r="D14" s="87">
        <f t="shared" si="14"/>
        <v>2.825748078095902E-3</v>
      </c>
      <c r="E14" s="88">
        <v>2664.8</v>
      </c>
      <c r="F14" s="189">
        <f t="shared" si="1"/>
        <v>4.149477095503061E-2</v>
      </c>
      <c r="G14" s="89">
        <f t="shared" si="15"/>
        <v>6.224215643254591E-3</v>
      </c>
      <c r="H14" s="90">
        <f t="shared" si="16"/>
        <v>9.0499637213504926E-3</v>
      </c>
      <c r="J14" s="91">
        <v>3888</v>
      </c>
      <c r="K14" s="92">
        <v>1372</v>
      </c>
      <c r="L14" s="92">
        <v>11340</v>
      </c>
      <c r="M14" s="92">
        <v>3122</v>
      </c>
      <c r="N14" s="93">
        <f t="shared" si="17"/>
        <v>2.2736257078765226E-3</v>
      </c>
      <c r="O14" s="93">
        <f t="shared" si="2"/>
        <v>3.8993667792139876E-3</v>
      </c>
      <c r="P14" s="93">
        <f t="shared" si="2"/>
        <v>8.4855341845805725E-3</v>
      </c>
      <c r="Q14" s="93">
        <f t="shared" si="2"/>
        <v>1.9939708249239966E-2</v>
      </c>
      <c r="R14" s="94">
        <f t="shared" si="18"/>
        <v>3.4598234920911047E-2</v>
      </c>
      <c r="S14" s="95">
        <v>3560.0000000065597</v>
      </c>
      <c r="T14" s="95">
        <v>1140</v>
      </c>
      <c r="U14" s="95">
        <v>7405</v>
      </c>
      <c r="V14" s="95">
        <v>920</v>
      </c>
      <c r="W14" s="96">
        <f t="shared" si="19"/>
        <v>2.7998162817665408E-3</v>
      </c>
      <c r="X14" s="96">
        <f t="shared" si="3"/>
        <v>3.8912099614975015E-3</v>
      </c>
      <c r="Y14" s="96">
        <f t="shared" si="3"/>
        <v>1.5036632119302121E-2</v>
      </c>
      <c r="Z14" s="96">
        <f t="shared" si="3"/>
        <v>1.6756520472096751E-2</v>
      </c>
      <c r="AA14" s="86">
        <f t="shared" si="20"/>
        <v>3.8484178834662916E-2</v>
      </c>
      <c r="AB14" s="97">
        <f t="shared" si="4"/>
        <v>3.2711552009463477E-2</v>
      </c>
      <c r="AC14" s="86">
        <f t="shared" si="5"/>
        <v>0.11231624742229894</v>
      </c>
      <c r="AD14" s="86">
        <f t="shared" si="6"/>
        <v>0</v>
      </c>
      <c r="AE14" s="87">
        <f t="shared" si="21"/>
        <v>0</v>
      </c>
      <c r="AF14" s="87">
        <f t="shared" si="7"/>
        <v>0</v>
      </c>
      <c r="AG14" s="90">
        <f t="shared" si="8"/>
        <v>3.2711552009463477E-2</v>
      </c>
      <c r="AI14" s="88">
        <v>1153497</v>
      </c>
      <c r="AJ14" s="88">
        <v>493756</v>
      </c>
      <c r="AK14" s="98">
        <f t="shared" si="9"/>
        <v>0.42805139501879935</v>
      </c>
      <c r="AL14" s="99">
        <f t="shared" si="22"/>
        <v>211352.94459890228</v>
      </c>
      <c r="AM14" s="90">
        <f t="shared" si="23"/>
        <v>1.9310424267617818E-4</v>
      </c>
      <c r="AO14" s="100">
        <f t="shared" si="10"/>
        <v>20690618.632757306</v>
      </c>
      <c r="AP14" s="101">
        <f t="shared" si="11"/>
        <v>48391774.895337343</v>
      </c>
      <c r="AQ14" s="101">
        <f t="shared" si="12"/>
        <v>311638.26517922897</v>
      </c>
      <c r="AR14" s="101">
        <f t="shared" si="13"/>
        <v>69394031.793273881</v>
      </c>
      <c r="AS14" s="102">
        <f t="shared" si="24"/>
        <v>1.2899842656979266E-2</v>
      </c>
    </row>
    <row r="15" spans="1:45" ht="14.25">
      <c r="A15" s="7" t="s">
        <v>8</v>
      </c>
      <c r="B15" s="85">
        <v>3773</v>
      </c>
      <c r="C15" s="192">
        <f t="shared" si="0"/>
        <v>8.1079489704215658E-4</v>
      </c>
      <c r="D15" s="87">
        <f t="shared" si="14"/>
        <v>6.8917566248583311E-4</v>
      </c>
      <c r="E15" s="88">
        <v>465.62</v>
      </c>
      <c r="F15" s="189">
        <f t="shared" si="1"/>
        <v>7.2503734809671837E-3</v>
      </c>
      <c r="G15" s="89">
        <f t="shared" si="15"/>
        <v>1.0875560221450776E-3</v>
      </c>
      <c r="H15" s="90">
        <f t="shared" si="16"/>
        <v>1.7767316846309107E-3</v>
      </c>
      <c r="J15" s="91">
        <v>739</v>
      </c>
      <c r="K15" s="92">
        <v>153</v>
      </c>
      <c r="L15" s="92">
        <v>789</v>
      </c>
      <c r="M15" s="92">
        <v>57</v>
      </c>
      <c r="N15" s="93">
        <f t="shared" si="17"/>
        <v>4.3215262297344398E-4</v>
      </c>
      <c r="O15" s="93">
        <f t="shared" si="2"/>
        <v>4.3484192217182224E-4</v>
      </c>
      <c r="P15" s="93">
        <f t="shared" si="2"/>
        <v>5.9039563241923033E-4</v>
      </c>
      <c r="Q15" s="93">
        <f t="shared" si="2"/>
        <v>3.6404976624172905E-4</v>
      </c>
      <c r="R15" s="94">
        <f t="shared" si="18"/>
        <v>1.8214399438062257E-3</v>
      </c>
      <c r="S15" s="95">
        <v>518.99999999744</v>
      </c>
      <c r="T15" s="95">
        <v>104</v>
      </c>
      <c r="U15" s="95">
        <v>89</v>
      </c>
      <c r="V15" s="95">
        <v>41</v>
      </c>
      <c r="W15" s="96">
        <f t="shared" si="19"/>
        <v>4.0817546354690717E-4</v>
      </c>
      <c r="X15" s="96">
        <f t="shared" si="3"/>
        <v>3.5498757543485978E-4</v>
      </c>
      <c r="Y15" s="96">
        <f t="shared" si="3"/>
        <v>1.8072387017122063E-4</v>
      </c>
      <c r="Z15" s="96">
        <f t="shared" si="3"/>
        <v>7.4675797756083341E-4</v>
      </c>
      <c r="AA15" s="86">
        <f t="shared" si="20"/>
        <v>1.6906448867138209E-3</v>
      </c>
      <c r="AB15" s="97">
        <f t="shared" si="4"/>
        <v>1.4370481537067476E-3</v>
      </c>
      <c r="AC15" s="86">
        <f t="shared" si="5"/>
        <v>-7.1808602604313709E-2</v>
      </c>
      <c r="AD15" s="86">
        <f t="shared" si="6"/>
        <v>-7.1808602604313709E-2</v>
      </c>
      <c r="AE15" s="87">
        <f t="shared" si="21"/>
        <v>1.3380845347842557E-2</v>
      </c>
      <c r="AF15" s="87">
        <f t="shared" si="7"/>
        <v>2.0071268021763836E-3</v>
      </c>
      <c r="AG15" s="90">
        <f t="shared" si="8"/>
        <v>3.4441749558831313E-3</v>
      </c>
      <c r="AI15" s="88">
        <v>2451486</v>
      </c>
      <c r="AJ15" s="88">
        <v>640268</v>
      </c>
      <c r="AK15" s="98">
        <f t="shared" si="9"/>
        <v>0.26117546663533875</v>
      </c>
      <c r="AL15" s="99">
        <f t="shared" si="22"/>
        <v>167222.29367167506</v>
      </c>
      <c r="AM15" s="90">
        <f t="shared" si="23"/>
        <v>1.5278393418801693E-4</v>
      </c>
      <c r="AO15" s="100">
        <f t="shared" si="10"/>
        <v>4062080.1178138633</v>
      </c>
      <c r="AP15" s="101">
        <f t="shared" si="11"/>
        <v>5095133.948919245</v>
      </c>
      <c r="AQ15" s="101">
        <f t="shared" si="12"/>
        <v>246567.96524898303</v>
      </c>
      <c r="AR15" s="101">
        <f t="shared" si="13"/>
        <v>9403782.0319820922</v>
      </c>
      <c r="AS15" s="102">
        <f t="shared" si="24"/>
        <v>1.7480942590924029E-3</v>
      </c>
    </row>
    <row r="16" spans="1:45" ht="14.25">
      <c r="A16" s="7" t="s">
        <v>9</v>
      </c>
      <c r="B16" s="85">
        <v>86445</v>
      </c>
      <c r="C16" s="192">
        <f t="shared" si="0"/>
        <v>1.8576508050572284E-2</v>
      </c>
      <c r="D16" s="87">
        <f t="shared" si="14"/>
        <v>1.5790031842986441E-2</v>
      </c>
      <c r="E16" s="88">
        <v>1140.97</v>
      </c>
      <c r="F16" s="189">
        <f t="shared" si="1"/>
        <v>1.7766544887631817E-2</v>
      </c>
      <c r="G16" s="89">
        <f t="shared" si="15"/>
        <v>2.6649817331447726E-3</v>
      </c>
      <c r="H16" s="90">
        <f t="shared" si="16"/>
        <v>1.8455013576131211E-2</v>
      </c>
      <c r="J16" s="91">
        <v>6662</v>
      </c>
      <c r="K16" s="92">
        <v>2055</v>
      </c>
      <c r="L16" s="92">
        <v>14558</v>
      </c>
      <c r="M16" s="92">
        <v>683</v>
      </c>
      <c r="N16" s="93">
        <f t="shared" si="17"/>
        <v>3.895806189782251E-3</v>
      </c>
      <c r="O16" s="93">
        <f t="shared" si="2"/>
        <v>5.8405238566215344E-3</v>
      </c>
      <c r="P16" s="93">
        <f t="shared" si="2"/>
        <v>1.0893510287400703E-2</v>
      </c>
      <c r="Q16" s="93">
        <f t="shared" si="2"/>
        <v>4.3622103568965081E-3</v>
      </c>
      <c r="R16" s="94">
        <f t="shared" si="18"/>
        <v>2.4992050690700995E-2</v>
      </c>
      <c r="S16" s="95">
        <v>5056.9999999440479</v>
      </c>
      <c r="T16" s="95">
        <v>1587</v>
      </c>
      <c r="U16" s="95">
        <v>3489</v>
      </c>
      <c r="V16" s="95">
        <v>461</v>
      </c>
      <c r="W16" s="96">
        <f t="shared" si="19"/>
        <v>3.9771547575029919E-3</v>
      </c>
      <c r="X16" s="96">
        <f t="shared" si="3"/>
        <v>5.4169738674531009E-3</v>
      </c>
      <c r="Y16" s="96">
        <f t="shared" si="3"/>
        <v>7.0847818317684138E-3</v>
      </c>
      <c r="Z16" s="96">
        <f t="shared" si="3"/>
        <v>8.3964738452571765E-3</v>
      </c>
      <c r="AA16" s="86">
        <f t="shared" si="20"/>
        <v>2.4875384301981683E-2</v>
      </c>
      <c r="AB16" s="97">
        <f t="shared" si="4"/>
        <v>2.114407665668443E-2</v>
      </c>
      <c r="AC16" s="86">
        <f t="shared" si="5"/>
        <v>-4.6681398882853836E-3</v>
      </c>
      <c r="AD16" s="86">
        <f t="shared" si="6"/>
        <v>-4.6681398882853836E-3</v>
      </c>
      <c r="AE16" s="87">
        <f t="shared" si="21"/>
        <v>8.6986315903450563E-4</v>
      </c>
      <c r="AF16" s="87">
        <f t="shared" si="7"/>
        <v>1.3047947385517585E-4</v>
      </c>
      <c r="AG16" s="90">
        <f t="shared" si="8"/>
        <v>2.1274556130539607E-2</v>
      </c>
      <c r="AI16" s="88">
        <v>55173019</v>
      </c>
      <c r="AJ16" s="88">
        <v>23768082.240000002</v>
      </c>
      <c r="AK16" s="98">
        <f t="shared" si="9"/>
        <v>0.43079176508358191</v>
      </c>
      <c r="AL16" s="99">
        <f t="shared" si="22"/>
        <v>10239094.100821337</v>
      </c>
      <c r="AM16" s="90">
        <f t="shared" si="23"/>
        <v>9.3550270415276582E-3</v>
      </c>
      <c r="AO16" s="100">
        <f t="shared" si="10"/>
        <v>42193058.394836091</v>
      </c>
      <c r="AP16" s="101">
        <f t="shared" si="11"/>
        <v>31472475.869364213</v>
      </c>
      <c r="AQ16" s="101">
        <f t="shared" si="12"/>
        <v>15097464.237569043</v>
      </c>
      <c r="AR16" s="101">
        <f t="shared" si="13"/>
        <v>88762998.501769349</v>
      </c>
      <c r="AS16" s="102">
        <f t="shared" si="24"/>
        <v>1.6500391818212449E-2</v>
      </c>
    </row>
    <row r="17" spans="1:45" ht="14.25">
      <c r="A17" s="7" t="s">
        <v>10</v>
      </c>
      <c r="B17" s="85">
        <v>16092</v>
      </c>
      <c r="C17" s="192">
        <f t="shared" si="0"/>
        <v>3.4580735444480213E-3</v>
      </c>
      <c r="D17" s="87">
        <f t="shared" si="14"/>
        <v>2.9393625127808179E-3</v>
      </c>
      <c r="E17" s="88">
        <v>102.38</v>
      </c>
      <c r="F17" s="189">
        <f t="shared" si="1"/>
        <v>1.5942039366466652E-3</v>
      </c>
      <c r="G17" s="89">
        <f t="shared" si="15"/>
        <v>2.3913059049699976E-4</v>
      </c>
      <c r="H17" s="90">
        <f t="shared" si="16"/>
        <v>3.1784931032778178E-3</v>
      </c>
      <c r="J17" s="91">
        <v>981</v>
      </c>
      <c r="K17" s="92">
        <v>219</v>
      </c>
      <c r="L17" s="92">
        <v>1075</v>
      </c>
      <c r="M17" s="92">
        <v>108</v>
      </c>
      <c r="N17" s="93">
        <f t="shared" si="17"/>
        <v>5.73669449441067E-4</v>
      </c>
      <c r="O17" s="93">
        <f t="shared" si="2"/>
        <v>6.2242079055966715E-4</v>
      </c>
      <c r="P17" s="93">
        <f t="shared" si="2"/>
        <v>8.0440469562822884E-4</v>
      </c>
      <c r="Q17" s="93">
        <f t="shared" si="2"/>
        <v>6.8977850445801295E-4</v>
      </c>
      <c r="R17" s="94">
        <f t="shared" si="18"/>
        <v>2.6902734400869759E-3</v>
      </c>
      <c r="S17" s="95">
        <v>716.99999998365001</v>
      </c>
      <c r="T17" s="95">
        <v>253</v>
      </c>
      <c r="U17" s="95">
        <v>273</v>
      </c>
      <c r="V17" s="95">
        <v>153</v>
      </c>
      <c r="W17" s="96">
        <f t="shared" si="19"/>
        <v>5.6389558257784655E-4</v>
      </c>
      <c r="X17" s="96">
        <f t="shared" si="3"/>
        <v>8.6357554408672619E-4</v>
      </c>
      <c r="Y17" s="96">
        <f t="shared" si="3"/>
        <v>5.5435524221059812E-4</v>
      </c>
      <c r="Z17" s="96">
        <f t="shared" si="3"/>
        <v>2.786682208946525E-3</v>
      </c>
      <c r="AA17" s="86">
        <f t="shared" si="20"/>
        <v>4.7685085778216962E-3</v>
      </c>
      <c r="AB17" s="97">
        <f t="shared" si="4"/>
        <v>4.0532322911484417E-3</v>
      </c>
      <c r="AC17" s="86">
        <f t="shared" si="5"/>
        <v>0.77249959307762084</v>
      </c>
      <c r="AD17" s="86">
        <f t="shared" si="6"/>
        <v>0</v>
      </c>
      <c r="AE17" s="87">
        <f t="shared" si="21"/>
        <v>0</v>
      </c>
      <c r="AF17" s="87">
        <f t="shared" si="7"/>
        <v>0</v>
      </c>
      <c r="AG17" s="90">
        <f t="shared" si="8"/>
        <v>4.0532322911484417E-3</v>
      </c>
      <c r="AI17" s="88">
        <v>12155591</v>
      </c>
      <c r="AJ17" s="88">
        <v>4187745</v>
      </c>
      <c r="AK17" s="98">
        <f t="shared" si="9"/>
        <v>0.34451183821502385</v>
      </c>
      <c r="AL17" s="99">
        <f t="shared" si="22"/>
        <v>1442727.7279257751</v>
      </c>
      <c r="AM17" s="90">
        <f t="shared" si="23"/>
        <v>1.3181592800504422E-3</v>
      </c>
      <c r="AO17" s="100">
        <f t="shared" si="10"/>
        <v>7266878.7026868593</v>
      </c>
      <c r="AP17" s="101">
        <f t="shared" si="11"/>
        <v>5996141.8087109858</v>
      </c>
      <c r="AQ17" s="101">
        <f t="shared" si="12"/>
        <v>2127290.7605333375</v>
      </c>
      <c r="AR17" s="101">
        <f t="shared" si="13"/>
        <v>15390311.271931183</v>
      </c>
      <c r="AS17" s="102">
        <f t="shared" si="24"/>
        <v>2.8609462329740255E-3</v>
      </c>
    </row>
    <row r="18" spans="1:45" ht="14.25">
      <c r="A18" s="7" t="s">
        <v>11</v>
      </c>
      <c r="B18" s="85">
        <v>7855</v>
      </c>
      <c r="C18" s="192">
        <f t="shared" si="0"/>
        <v>1.6879920265746463E-3</v>
      </c>
      <c r="D18" s="87">
        <f t="shared" si="14"/>
        <v>1.4347932225884494E-3</v>
      </c>
      <c r="E18" s="88">
        <v>1006.89</v>
      </c>
      <c r="F18" s="189">
        <f t="shared" si="1"/>
        <v>1.5678726331023254E-2</v>
      </c>
      <c r="G18" s="89">
        <f t="shared" si="15"/>
        <v>2.3518089496534882E-3</v>
      </c>
      <c r="H18" s="90">
        <f t="shared" si="16"/>
        <v>3.7866021722419377E-3</v>
      </c>
      <c r="J18" s="91">
        <v>1343</v>
      </c>
      <c r="K18" s="92">
        <v>344</v>
      </c>
      <c r="L18" s="92">
        <v>1532</v>
      </c>
      <c r="M18" s="92">
        <v>359</v>
      </c>
      <c r="N18" s="93">
        <f t="shared" si="17"/>
        <v>7.85359908867842E-4</v>
      </c>
      <c r="O18" s="93">
        <f t="shared" si="2"/>
        <v>9.7768379886997952E-4</v>
      </c>
      <c r="P18" s="93">
        <f t="shared" si="2"/>
        <v>1.1463702266999503E-3</v>
      </c>
      <c r="Q18" s="93">
        <f t="shared" si="2"/>
        <v>2.2928748435224688E-3</v>
      </c>
      <c r="R18" s="94">
        <f t="shared" si="18"/>
        <v>5.2022887779602407E-3</v>
      </c>
      <c r="S18" s="95">
        <v>655.00000000354908</v>
      </c>
      <c r="T18" s="95">
        <v>319</v>
      </c>
      <c r="U18" s="95">
        <v>345</v>
      </c>
      <c r="V18" s="95">
        <v>110</v>
      </c>
      <c r="W18" s="96">
        <f t="shared" si="19"/>
        <v>5.1513473723697805E-4</v>
      </c>
      <c r="X18" s="96">
        <f t="shared" si="3"/>
        <v>1.0888561208050025E-3</v>
      </c>
      <c r="Y18" s="96">
        <f t="shared" si="3"/>
        <v>7.0055882257383283E-4</v>
      </c>
      <c r="Z18" s="96">
        <f t="shared" si="3"/>
        <v>2.0034970129680896E-3</v>
      </c>
      <c r="AA18" s="86">
        <f t="shared" si="20"/>
        <v>4.3080466935839033E-3</v>
      </c>
      <c r="AB18" s="97">
        <f t="shared" si="4"/>
        <v>3.6618396895463177E-3</v>
      </c>
      <c r="AC18" s="86">
        <f t="shared" si="5"/>
        <v>-0.17189397254624528</v>
      </c>
      <c r="AD18" s="86">
        <f t="shared" si="6"/>
        <v>-0.17189397254624528</v>
      </c>
      <c r="AE18" s="87">
        <f t="shared" si="21"/>
        <v>3.2030795468082691E-2</v>
      </c>
      <c r="AF18" s="87">
        <f t="shared" si="7"/>
        <v>4.8046193202124039E-3</v>
      </c>
      <c r="AG18" s="90">
        <f t="shared" si="8"/>
        <v>8.4664590097587207E-3</v>
      </c>
      <c r="AI18" s="88">
        <v>4246390</v>
      </c>
      <c r="AJ18" s="88">
        <v>1026459</v>
      </c>
      <c r="AK18" s="98">
        <f t="shared" si="9"/>
        <v>0.24172508884016777</v>
      </c>
      <c r="AL18" s="99">
        <f t="shared" si="22"/>
        <v>248120.89296578977</v>
      </c>
      <c r="AM18" s="90">
        <f t="shared" si="23"/>
        <v>2.2669756136695315E-4</v>
      </c>
      <c r="AO18" s="100">
        <f t="shared" si="10"/>
        <v>8657177.4066887498</v>
      </c>
      <c r="AP18" s="101">
        <f t="shared" si="11"/>
        <v>12524840.718114389</v>
      </c>
      <c r="AQ18" s="101">
        <f t="shared" si="12"/>
        <v>365852.3177205901</v>
      </c>
      <c r="AR18" s="101">
        <f t="shared" si="13"/>
        <v>21547870.442523729</v>
      </c>
      <c r="AS18" s="102">
        <f t="shared" si="24"/>
        <v>4.005591419296556E-3</v>
      </c>
    </row>
    <row r="19" spans="1:45" ht="14.25">
      <c r="A19" s="7" t="s">
        <v>12</v>
      </c>
      <c r="B19" s="85">
        <v>10864</v>
      </c>
      <c r="C19" s="192">
        <f t="shared" si="0"/>
        <v>2.3346079410193452E-3</v>
      </c>
      <c r="D19" s="87">
        <f t="shared" si="14"/>
        <v>1.9844167498664434E-3</v>
      </c>
      <c r="E19" s="88">
        <v>4292.05</v>
      </c>
      <c r="F19" s="189">
        <f t="shared" si="1"/>
        <v>6.6833395255756198E-2</v>
      </c>
      <c r="G19" s="89">
        <f t="shared" si="15"/>
        <v>1.002500928836343E-2</v>
      </c>
      <c r="H19" s="90">
        <f t="shared" si="16"/>
        <v>1.2009426038229874E-2</v>
      </c>
      <c r="J19" s="91">
        <v>2046</v>
      </c>
      <c r="K19" s="92">
        <v>494</v>
      </c>
      <c r="L19" s="92">
        <v>4758</v>
      </c>
      <c r="M19" s="92">
        <v>898</v>
      </c>
      <c r="N19" s="93">
        <f t="shared" si="17"/>
        <v>1.1964604419535403E-3</v>
      </c>
      <c r="O19" s="93">
        <f t="shared" si="2"/>
        <v>1.4039994088423542E-3</v>
      </c>
      <c r="P19" s="93">
        <f t="shared" si="2"/>
        <v>3.5603325970224304E-3</v>
      </c>
      <c r="Q19" s="93">
        <f t="shared" si="2"/>
        <v>5.7353805278082927E-3</v>
      </c>
      <c r="R19" s="94">
        <f t="shared" si="18"/>
        <v>1.1896172975626618E-2</v>
      </c>
      <c r="S19" s="95">
        <v>787.99999998764804</v>
      </c>
      <c r="T19" s="95">
        <v>378</v>
      </c>
      <c r="U19" s="95">
        <v>1925</v>
      </c>
      <c r="V19" s="95">
        <v>123</v>
      </c>
      <c r="W19" s="96">
        <f t="shared" si="19"/>
        <v>6.1973461516668131E-4</v>
      </c>
      <c r="X19" s="96">
        <f t="shared" si="3"/>
        <v>1.2902433030228557E-3</v>
      </c>
      <c r="Y19" s="96">
        <f t="shared" si="3"/>
        <v>3.9089151694337047E-3</v>
      </c>
      <c r="Z19" s="96">
        <f t="shared" si="3"/>
        <v>2.2402739326825003E-3</v>
      </c>
      <c r="AA19" s="86">
        <f t="shared" si="20"/>
        <v>8.0591670203057422E-3</v>
      </c>
      <c r="AB19" s="97">
        <f t="shared" si="4"/>
        <v>6.8502919672598804E-3</v>
      </c>
      <c r="AC19" s="86">
        <f t="shared" si="5"/>
        <v>-0.32254120406472697</v>
      </c>
      <c r="AD19" s="86">
        <f t="shared" si="6"/>
        <v>-0.32254120406472697</v>
      </c>
      <c r="AE19" s="87">
        <f t="shared" si="21"/>
        <v>6.0102464236475396E-2</v>
      </c>
      <c r="AF19" s="87">
        <f t="shared" si="7"/>
        <v>9.0153696354713098E-3</v>
      </c>
      <c r="AG19" s="90">
        <f t="shared" si="8"/>
        <v>1.5865661602731191E-2</v>
      </c>
      <c r="AI19" s="88">
        <v>3608731</v>
      </c>
      <c r="AJ19" s="88">
        <v>1048542</v>
      </c>
      <c r="AK19" s="98">
        <f t="shared" si="9"/>
        <v>0.2905569852671202</v>
      </c>
      <c r="AL19" s="99">
        <f t="shared" si="22"/>
        <v>304661.20244595676</v>
      </c>
      <c r="AM19" s="90">
        <f t="shared" si="23"/>
        <v>2.7835604979522882E-4</v>
      </c>
      <c r="AO19" s="100">
        <f t="shared" si="10"/>
        <v>27456734.834097177</v>
      </c>
      <c r="AP19" s="101">
        <f t="shared" si="11"/>
        <v>23470837.599599343</v>
      </c>
      <c r="AQ19" s="101">
        <f t="shared" si="12"/>
        <v>449220.56221103127</v>
      </c>
      <c r="AR19" s="101">
        <f t="shared" si="13"/>
        <v>51376792.995907553</v>
      </c>
      <c r="AS19" s="102">
        <f t="shared" si="24"/>
        <v>9.5505698219373394E-3</v>
      </c>
    </row>
    <row r="20" spans="1:45" ht="14.25">
      <c r="A20" s="7" t="s">
        <v>13</v>
      </c>
      <c r="B20" s="85">
        <v>24526</v>
      </c>
      <c r="C20" s="192">
        <f t="shared" si="0"/>
        <v>5.2704891717084371E-3</v>
      </c>
      <c r="D20" s="87">
        <f t="shared" si="14"/>
        <v>4.4799157959521715E-3</v>
      </c>
      <c r="E20" s="88">
        <v>146.56</v>
      </c>
      <c r="F20" s="189">
        <f t="shared" si="1"/>
        <v>2.2821501167702212E-3</v>
      </c>
      <c r="G20" s="89">
        <f t="shared" si="15"/>
        <v>3.4232251751553319E-4</v>
      </c>
      <c r="H20" s="90">
        <f t="shared" si="16"/>
        <v>4.8222383134677044E-3</v>
      </c>
      <c r="J20" s="91">
        <v>1162</v>
      </c>
      <c r="K20" s="92">
        <v>349</v>
      </c>
      <c r="L20" s="92">
        <v>489</v>
      </c>
      <c r="M20" s="92">
        <v>43</v>
      </c>
      <c r="N20" s="93">
        <f t="shared" si="17"/>
        <v>6.7951467915445456E-4</v>
      </c>
      <c r="O20" s="93">
        <f t="shared" si="2"/>
        <v>9.9189431920239184E-4</v>
      </c>
      <c r="P20" s="93">
        <f t="shared" si="2"/>
        <v>3.6591060108111993E-4</v>
      </c>
      <c r="Q20" s="93">
        <f t="shared" si="2"/>
        <v>2.7463403418235698E-4</v>
      </c>
      <c r="R20" s="94">
        <f t="shared" si="18"/>
        <v>2.3119536336203231E-3</v>
      </c>
      <c r="S20" s="95">
        <v>2032.9999999577099</v>
      </c>
      <c r="T20" s="95">
        <v>358</v>
      </c>
      <c r="U20" s="95">
        <v>131</v>
      </c>
      <c r="V20" s="95">
        <v>31</v>
      </c>
      <c r="W20" s="96">
        <f t="shared" si="19"/>
        <v>1.5988838485119338E-3</v>
      </c>
      <c r="X20" s="96">
        <f t="shared" si="3"/>
        <v>1.221976461593075E-3</v>
      </c>
      <c r="Y20" s="96">
        <f t="shared" si="3"/>
        <v>2.6600929204977422E-4</v>
      </c>
      <c r="Z20" s="96">
        <f t="shared" si="3"/>
        <v>5.6462188547282534E-4</v>
      </c>
      <c r="AA20" s="86">
        <f t="shared" si="20"/>
        <v>3.6514914876276086E-3</v>
      </c>
      <c r="AB20" s="97">
        <f t="shared" si="4"/>
        <v>3.1037677644834673E-3</v>
      </c>
      <c r="AC20" s="86">
        <f t="shared" si="5"/>
        <v>0.57939650455259473</v>
      </c>
      <c r="AD20" s="86">
        <f t="shared" si="6"/>
        <v>0</v>
      </c>
      <c r="AE20" s="87">
        <f t="shared" si="21"/>
        <v>0</v>
      </c>
      <c r="AF20" s="87">
        <f t="shared" si="7"/>
        <v>0</v>
      </c>
      <c r="AG20" s="90">
        <f t="shared" si="8"/>
        <v>3.1037677644834673E-3</v>
      </c>
      <c r="AI20" s="88">
        <v>27095871</v>
      </c>
      <c r="AJ20" s="88">
        <v>10231358</v>
      </c>
      <c r="AK20" s="98">
        <f t="shared" si="9"/>
        <v>0.3775984171167629</v>
      </c>
      <c r="AL20" s="99">
        <f t="shared" si="22"/>
        <v>3863344.5857549291</v>
      </c>
      <c r="AM20" s="90">
        <f t="shared" si="23"/>
        <v>3.5297744814727014E-3</v>
      </c>
      <c r="AO20" s="100">
        <f t="shared" si="10"/>
        <v>11024916.4496476</v>
      </c>
      <c r="AP20" s="101">
        <f t="shared" si="11"/>
        <v>4591553.1902257735</v>
      </c>
      <c r="AQ20" s="101">
        <f t="shared" si="12"/>
        <v>5696471.4013285916</v>
      </c>
      <c r="AR20" s="101">
        <f t="shared" si="13"/>
        <v>21312941.041201964</v>
      </c>
      <c r="AS20" s="102">
        <f t="shared" si="24"/>
        <v>3.9619197628985364E-3</v>
      </c>
    </row>
    <row r="21" spans="1:45" ht="14.25">
      <c r="A21" s="7" t="s">
        <v>14</v>
      </c>
      <c r="B21" s="85">
        <v>35445</v>
      </c>
      <c r="C21" s="192">
        <f t="shared" si="0"/>
        <v>7.6169162803231489E-3</v>
      </c>
      <c r="D21" s="87">
        <f t="shared" si="14"/>
        <v>6.4743788382746765E-3</v>
      </c>
      <c r="E21" s="88">
        <v>5091.18</v>
      </c>
      <c r="F21" s="189">
        <f t="shared" si="1"/>
        <v>7.9276999396139566E-2</v>
      </c>
      <c r="G21" s="89">
        <f t="shared" si="15"/>
        <v>1.1891549909420934E-2</v>
      </c>
      <c r="H21" s="90">
        <f t="shared" si="16"/>
        <v>1.836592874769561E-2</v>
      </c>
      <c r="J21" s="91">
        <v>7369</v>
      </c>
      <c r="K21" s="92">
        <v>3474</v>
      </c>
      <c r="L21" s="92">
        <v>27910</v>
      </c>
      <c r="M21" s="92">
        <v>2988</v>
      </c>
      <c r="N21" s="93">
        <f t="shared" si="17"/>
        <v>4.3092458439665882E-3</v>
      </c>
      <c r="O21" s="93">
        <f t="shared" si="2"/>
        <v>9.8734695269601987E-3</v>
      </c>
      <c r="P21" s="93">
        <f t="shared" si="2"/>
        <v>2.08845907488222E-2</v>
      </c>
      <c r="Q21" s="93">
        <f t="shared" si="2"/>
        <v>1.9083871956671692E-2</v>
      </c>
      <c r="R21" s="94">
        <f t="shared" si="18"/>
        <v>5.4151178076420683E-2</v>
      </c>
      <c r="S21" s="95">
        <v>7387.0000000238397</v>
      </c>
      <c r="T21" s="95">
        <v>3170</v>
      </c>
      <c r="U21" s="95">
        <v>23798</v>
      </c>
      <c r="V21" s="95">
        <v>1385</v>
      </c>
      <c r="W21" s="96">
        <f t="shared" si="19"/>
        <v>5.8096187846736159E-3</v>
      </c>
      <c r="X21" s="96">
        <f t="shared" si="3"/>
        <v>1.0820294366620246E-2</v>
      </c>
      <c r="Y21" s="96">
        <f t="shared" si="3"/>
        <v>4.8324344520614702E-2</v>
      </c>
      <c r="Z21" s="96">
        <f t="shared" si="3"/>
        <v>2.522584875418913E-2</v>
      </c>
      <c r="AA21" s="86">
        <f t="shared" si="20"/>
        <v>9.0180106426097695E-2</v>
      </c>
      <c r="AB21" s="97">
        <f t="shared" si="4"/>
        <v>7.6653090462183035E-2</v>
      </c>
      <c r="AC21" s="86">
        <f t="shared" si="5"/>
        <v>0.66533969582030694</v>
      </c>
      <c r="AD21" s="86">
        <f t="shared" si="6"/>
        <v>0</v>
      </c>
      <c r="AE21" s="87">
        <f t="shared" si="21"/>
        <v>0</v>
      </c>
      <c r="AF21" s="87">
        <f t="shared" si="7"/>
        <v>0</v>
      </c>
      <c r="AG21" s="90">
        <f t="shared" si="8"/>
        <v>7.6653090462183035E-2</v>
      </c>
      <c r="AI21" s="88">
        <v>4826493</v>
      </c>
      <c r="AJ21" s="88">
        <v>539448</v>
      </c>
      <c r="AK21" s="98">
        <f t="shared" si="9"/>
        <v>0.11176810988848425</v>
      </c>
      <c r="AL21" s="99">
        <f t="shared" si="22"/>
        <v>60293.083343123049</v>
      </c>
      <c r="AM21" s="90">
        <f t="shared" si="23"/>
        <v>5.5087239118815382E-5</v>
      </c>
      <c r="AO21" s="100">
        <f t="shared" si="10"/>
        <v>41989386.836818993</v>
      </c>
      <c r="AP21" s="101">
        <f t="shared" si="11"/>
        <v>113396609.7849703</v>
      </c>
      <c r="AQ21" s="101">
        <f t="shared" si="12"/>
        <v>88901.680225065211</v>
      </c>
      <c r="AR21" s="101">
        <f t="shared" si="13"/>
        <v>155474898.30201435</v>
      </c>
      <c r="AS21" s="102">
        <f t="shared" si="24"/>
        <v>2.8901645766606601E-2</v>
      </c>
    </row>
    <row r="22" spans="1:45" ht="14.25">
      <c r="A22" s="7" t="s">
        <v>15</v>
      </c>
      <c r="B22" s="85">
        <v>1716</v>
      </c>
      <c r="C22" s="192">
        <f t="shared" si="0"/>
        <v>3.6875802897544147E-4</v>
      </c>
      <c r="D22" s="87">
        <f t="shared" si="14"/>
        <v>3.1344432462912525E-4</v>
      </c>
      <c r="E22" s="88">
        <v>720.74</v>
      </c>
      <c r="F22" s="189">
        <f t="shared" si="1"/>
        <v>1.1222959028117967E-2</v>
      </c>
      <c r="G22" s="89">
        <f t="shared" si="15"/>
        <v>1.683443854217695E-3</v>
      </c>
      <c r="H22" s="90">
        <f t="shared" si="16"/>
        <v>1.9968881788468202E-3</v>
      </c>
      <c r="J22" s="91">
        <v>381</v>
      </c>
      <c r="K22" s="92">
        <v>111</v>
      </c>
      <c r="L22" s="92">
        <v>881</v>
      </c>
      <c r="M22" s="92">
        <v>100</v>
      </c>
      <c r="N22" s="93">
        <f t="shared" si="17"/>
        <v>2.2280128464530736E-4</v>
      </c>
      <c r="O22" s="93">
        <f t="shared" si="2"/>
        <v>3.1547355137955733E-4</v>
      </c>
      <c r="P22" s="93">
        <f t="shared" si="2"/>
        <v>6.5923770869625079E-4</v>
      </c>
      <c r="Q22" s="93">
        <f t="shared" si="2"/>
        <v>6.3868380042408609E-4</v>
      </c>
      <c r="R22" s="94">
        <f t="shared" si="18"/>
        <v>1.8361963451452015E-3</v>
      </c>
      <c r="S22" s="95">
        <v>157.99999999728001</v>
      </c>
      <c r="T22" s="95">
        <v>83</v>
      </c>
      <c r="U22" s="95">
        <v>189</v>
      </c>
      <c r="V22" s="95">
        <v>25</v>
      </c>
      <c r="W22" s="96">
        <f t="shared" si="19"/>
        <v>1.2426150913221427E-4</v>
      </c>
      <c r="X22" s="96">
        <f t="shared" si="3"/>
        <v>2.8330739193359002E-4</v>
      </c>
      <c r="Y22" s="96">
        <f t="shared" si="3"/>
        <v>3.8378439845349104E-4</v>
      </c>
      <c r="Z22" s="96">
        <f t="shared" si="3"/>
        <v>4.5534023022002039E-4</v>
      </c>
      <c r="AA22" s="86">
        <f t="shared" si="20"/>
        <v>1.2466935297393157E-3</v>
      </c>
      <c r="AB22" s="97">
        <f t="shared" si="4"/>
        <v>1.0596895002784182E-3</v>
      </c>
      <c r="AC22" s="86">
        <f t="shared" si="5"/>
        <v>-0.32104563162022282</v>
      </c>
      <c r="AD22" s="86">
        <f t="shared" si="6"/>
        <v>-0.32104563162022282</v>
      </c>
      <c r="AE22" s="87">
        <f t="shared" si="21"/>
        <v>5.982377863529921E-2</v>
      </c>
      <c r="AF22" s="87">
        <f t="shared" si="7"/>
        <v>8.9735667952948808E-3</v>
      </c>
      <c r="AG22" s="90">
        <f t="shared" si="8"/>
        <v>1.0033256295573299E-2</v>
      </c>
      <c r="AI22" s="88">
        <v>1196595</v>
      </c>
      <c r="AJ22" s="88">
        <v>341206</v>
      </c>
      <c r="AK22" s="98">
        <f t="shared" si="9"/>
        <v>0.28514743919204077</v>
      </c>
      <c r="AL22" s="99">
        <f t="shared" si="22"/>
        <v>97294.017136959461</v>
      </c>
      <c r="AM22" s="90">
        <f t="shared" si="23"/>
        <v>8.8893426736072251E-5</v>
      </c>
      <c r="AO22" s="100">
        <f t="shared" si="10"/>
        <v>4565416.285957803</v>
      </c>
      <c r="AP22" s="101">
        <f t="shared" si="11"/>
        <v>14842679.429644486</v>
      </c>
      <c r="AQ22" s="101">
        <f t="shared" si="12"/>
        <v>143459.2679577822</v>
      </c>
      <c r="AR22" s="101">
        <f t="shared" si="13"/>
        <v>19551554.98356007</v>
      </c>
      <c r="AS22" s="102">
        <f t="shared" si="24"/>
        <v>3.6344909853133762E-3</v>
      </c>
    </row>
    <row r="23" spans="1:45" ht="14.25">
      <c r="A23" s="7" t="s">
        <v>16</v>
      </c>
      <c r="B23" s="85">
        <v>3345</v>
      </c>
      <c r="C23" s="192">
        <f t="shared" si="0"/>
        <v>7.1882028375457561E-4</v>
      </c>
      <c r="D23" s="87">
        <f t="shared" si="14"/>
        <v>6.1099724119138929E-4</v>
      </c>
      <c r="E23" s="88">
        <v>615.78</v>
      </c>
      <c r="F23" s="189">
        <f t="shared" si="1"/>
        <v>9.5885807785532663E-3</v>
      </c>
      <c r="G23" s="89">
        <f t="shared" si="15"/>
        <v>1.4382871167829899E-3</v>
      </c>
      <c r="H23" s="90">
        <f t="shared" si="16"/>
        <v>2.049284357974379E-3</v>
      </c>
      <c r="J23" s="91">
        <v>519</v>
      </c>
      <c r="K23" s="92">
        <v>176</v>
      </c>
      <c r="L23" s="92">
        <v>1034</v>
      </c>
      <c r="M23" s="92">
        <v>145</v>
      </c>
      <c r="N23" s="93">
        <f t="shared" si="17"/>
        <v>3.0350096254833211E-4</v>
      </c>
      <c r="O23" s="93">
        <f t="shared" si="2"/>
        <v>5.0021031570091968E-4</v>
      </c>
      <c r="P23" s="93">
        <f t="shared" si="2"/>
        <v>7.7372507467868713E-4</v>
      </c>
      <c r="Q23" s="93">
        <f t="shared" si="2"/>
        <v>9.2609151061492478E-4</v>
      </c>
      <c r="R23" s="94">
        <f t="shared" si="18"/>
        <v>2.5035278635428637E-3</v>
      </c>
      <c r="S23" s="95">
        <v>277.00000000287605</v>
      </c>
      <c r="T23" s="95">
        <v>136</v>
      </c>
      <c r="U23" s="95">
        <v>317</v>
      </c>
      <c r="V23" s="95">
        <v>84</v>
      </c>
      <c r="W23" s="96">
        <f t="shared" si="19"/>
        <v>2.1785087361122336E-4</v>
      </c>
      <c r="X23" s="96">
        <f t="shared" si="3"/>
        <v>4.6421452172250896E-4</v>
      </c>
      <c r="Y23" s="96">
        <f t="shared" si="3"/>
        <v>6.4370187465479715E-4</v>
      </c>
      <c r="Z23" s="96">
        <f t="shared" si="3"/>
        <v>1.5299431735392686E-3</v>
      </c>
      <c r="AA23" s="86">
        <f t="shared" si="20"/>
        <v>2.8557104435277978E-3</v>
      </c>
      <c r="AB23" s="97">
        <f t="shared" si="4"/>
        <v>2.4273538769986279E-3</v>
      </c>
      <c r="AC23" s="86">
        <f t="shared" si="5"/>
        <v>0.14067451979006276</v>
      </c>
      <c r="AD23" s="86">
        <f t="shared" si="6"/>
        <v>0</v>
      </c>
      <c r="AE23" s="87">
        <f t="shared" si="21"/>
        <v>0</v>
      </c>
      <c r="AF23" s="87">
        <f t="shared" si="7"/>
        <v>0</v>
      </c>
      <c r="AG23" s="90">
        <f t="shared" si="8"/>
        <v>2.4273538769986279E-3</v>
      </c>
      <c r="AI23" s="88">
        <v>1526301</v>
      </c>
      <c r="AJ23" s="88">
        <v>506510</v>
      </c>
      <c r="AK23" s="98">
        <f t="shared" si="9"/>
        <v>0.33185459486693647</v>
      </c>
      <c r="AL23" s="99">
        <f t="shared" si="22"/>
        <v>168087.670846052</v>
      </c>
      <c r="AM23" s="90">
        <f t="shared" si="23"/>
        <v>1.5357459269625036E-4</v>
      </c>
      <c r="AO23" s="100">
        <f t="shared" si="10"/>
        <v>4685207.8556835847</v>
      </c>
      <c r="AP23" s="101">
        <f t="shared" si="11"/>
        <v>3590901.5375687326</v>
      </c>
      <c r="AQ23" s="101">
        <f t="shared" si="12"/>
        <v>247843.95713005349</v>
      </c>
      <c r="AR23" s="101">
        <f t="shared" si="13"/>
        <v>8523953.3503823709</v>
      </c>
      <c r="AS23" s="102">
        <f t="shared" si="24"/>
        <v>1.5845405461226082E-3</v>
      </c>
    </row>
    <row r="24" spans="1:45" ht="14.25">
      <c r="A24" s="7" t="s">
        <v>17</v>
      </c>
      <c r="B24" s="85">
        <v>39991</v>
      </c>
      <c r="C24" s="192">
        <f t="shared" si="0"/>
        <v>8.5938242055692785E-3</v>
      </c>
      <c r="D24" s="87">
        <f t="shared" si="14"/>
        <v>7.3047505747338868E-3</v>
      </c>
      <c r="E24" s="88">
        <v>7010.79</v>
      </c>
      <c r="F24" s="189">
        <f t="shared" si="1"/>
        <v>0.1091680896366778</v>
      </c>
      <c r="G24" s="89">
        <f t="shared" si="15"/>
        <v>1.637521344550167E-2</v>
      </c>
      <c r="H24" s="90">
        <f t="shared" si="16"/>
        <v>2.3679964020235558E-2</v>
      </c>
      <c r="J24" s="91">
        <v>6824</v>
      </c>
      <c r="K24" s="92">
        <v>2866</v>
      </c>
      <c r="L24" s="92">
        <v>26645</v>
      </c>
      <c r="M24" s="92">
        <v>2369</v>
      </c>
      <c r="N24" s="93">
        <f t="shared" si="17"/>
        <v>3.9905405942771066E-3</v>
      </c>
      <c r="O24" s="93">
        <f t="shared" si="17"/>
        <v>8.1454702545388398E-3</v>
      </c>
      <c r="P24" s="93">
        <f t="shared" si="17"/>
        <v>1.9938012200013171E-2</v>
      </c>
      <c r="Q24" s="93">
        <f t="shared" si="17"/>
        <v>1.5130419232046598E-2</v>
      </c>
      <c r="R24" s="94">
        <f t="shared" si="18"/>
        <v>4.7204442280875711E-2</v>
      </c>
      <c r="S24" s="95">
        <v>7532.9999999958</v>
      </c>
      <c r="T24" s="95">
        <v>2466</v>
      </c>
      <c r="U24" s="95">
        <v>13627</v>
      </c>
      <c r="V24" s="95">
        <v>715</v>
      </c>
      <c r="W24" s="96">
        <f t="shared" si="19"/>
        <v>5.9244427108136877E-3</v>
      </c>
      <c r="X24" s="96">
        <f t="shared" si="3"/>
        <v>8.4173015482919642E-3</v>
      </c>
      <c r="Y24" s="96">
        <f t="shared" si="3"/>
        <v>2.7671058189024985E-2</v>
      </c>
      <c r="Z24" s="96">
        <f t="shared" si="3"/>
        <v>1.3022730584292583E-2</v>
      </c>
      <c r="AA24" s="86">
        <f t="shared" si="20"/>
        <v>5.5035533032423221E-2</v>
      </c>
      <c r="AB24" s="97">
        <f t="shared" si="4"/>
        <v>4.6780203077559736E-2</v>
      </c>
      <c r="AC24" s="86">
        <f t="shared" si="5"/>
        <v>0.16589732603874402</v>
      </c>
      <c r="AD24" s="86">
        <f t="shared" si="6"/>
        <v>0</v>
      </c>
      <c r="AE24" s="87">
        <f t="shared" si="21"/>
        <v>0</v>
      </c>
      <c r="AF24" s="87">
        <f t="shared" si="7"/>
        <v>0</v>
      </c>
      <c r="AG24" s="90">
        <f t="shared" si="8"/>
        <v>4.6780203077559736E-2</v>
      </c>
      <c r="AI24" s="88">
        <v>8523125</v>
      </c>
      <c r="AJ24" s="88">
        <v>702722</v>
      </c>
      <c r="AK24" s="98">
        <f t="shared" si="9"/>
        <v>8.2448867052870869E-2</v>
      </c>
      <c r="AL24" s="99">
        <f t="shared" si="22"/>
        <v>57938.632753127524</v>
      </c>
      <c r="AM24" s="90">
        <f t="shared" si="23"/>
        <v>5.293607723667367E-5</v>
      </c>
      <c r="AO24" s="100">
        <f t="shared" si="10"/>
        <v>54138681.641808234</v>
      </c>
      <c r="AP24" s="101">
        <f t="shared" si="11"/>
        <v>69204208.232997492</v>
      </c>
      <c r="AQ24" s="101">
        <f t="shared" si="12"/>
        <v>85430.06122912986</v>
      </c>
      <c r="AR24" s="101">
        <f t="shared" si="13"/>
        <v>123428319.93603484</v>
      </c>
      <c r="AS24" s="102">
        <f t="shared" si="24"/>
        <v>2.2944421378100033E-2</v>
      </c>
    </row>
    <row r="25" spans="1:45" ht="14.25">
      <c r="A25" s="7" t="s">
        <v>18</v>
      </c>
      <c r="B25" s="85">
        <v>143668</v>
      </c>
      <c r="C25" s="192">
        <f t="shared" si="0"/>
        <v>3.0873384910748092E-2</v>
      </c>
      <c r="D25" s="87">
        <f t="shared" si="14"/>
        <v>2.6242377174135877E-2</v>
      </c>
      <c r="E25" s="88">
        <v>1040.01</v>
      </c>
      <c r="F25" s="189">
        <f t="shared" si="1"/>
        <v>1.6194452394529189E-2</v>
      </c>
      <c r="G25" s="89">
        <f t="shared" si="15"/>
        <v>2.4291678591793781E-3</v>
      </c>
      <c r="H25" s="90">
        <f t="shared" si="16"/>
        <v>2.8671545033315253E-2</v>
      </c>
      <c r="J25" s="91">
        <v>3671</v>
      </c>
      <c r="K25" s="92">
        <v>1263</v>
      </c>
      <c r="L25" s="92">
        <v>9334</v>
      </c>
      <c r="M25" s="92">
        <v>932</v>
      </c>
      <c r="N25" s="93">
        <f t="shared" si="17"/>
        <v>2.1467283882753894E-3</v>
      </c>
      <c r="O25" s="93">
        <f t="shared" si="17"/>
        <v>3.5895774359673955E-3</v>
      </c>
      <c r="P25" s="93">
        <f t="shared" si="17"/>
        <v>6.9844776083664078E-3</v>
      </c>
      <c r="Q25" s="93">
        <f t="shared" si="17"/>
        <v>5.9525330199524818E-3</v>
      </c>
      <c r="R25" s="94">
        <f t="shared" si="18"/>
        <v>1.8673316452561674E-2</v>
      </c>
      <c r="S25" s="95">
        <v>8688.9999999445354</v>
      </c>
      <c r="T25" s="95">
        <v>1809</v>
      </c>
      <c r="U25" s="95">
        <v>2369</v>
      </c>
      <c r="V25" s="95">
        <v>783</v>
      </c>
      <c r="W25" s="96">
        <f t="shared" si="19"/>
        <v>6.8335965370981333E-3</v>
      </c>
      <c r="X25" s="96">
        <f t="shared" si="3"/>
        <v>6.1747358073236669E-3</v>
      </c>
      <c r="Y25" s="96">
        <f t="shared" si="3"/>
        <v>4.8105039150069849E-3</v>
      </c>
      <c r="Z25" s="96">
        <f t="shared" si="3"/>
        <v>1.4261256010491039E-2</v>
      </c>
      <c r="AA25" s="86">
        <f t="shared" si="20"/>
        <v>3.2080092269919827E-2</v>
      </c>
      <c r="AB25" s="97">
        <f t="shared" si="4"/>
        <v>2.7268078429431852E-2</v>
      </c>
      <c r="AC25" s="86">
        <f t="shared" si="5"/>
        <v>0.71796436650217865</v>
      </c>
      <c r="AD25" s="86">
        <f t="shared" si="6"/>
        <v>0</v>
      </c>
      <c r="AE25" s="87">
        <f t="shared" si="21"/>
        <v>0</v>
      </c>
      <c r="AF25" s="87">
        <f t="shared" si="7"/>
        <v>0</v>
      </c>
      <c r="AG25" s="90">
        <f t="shared" si="8"/>
        <v>2.7268078429431852E-2</v>
      </c>
      <c r="AI25" s="88">
        <v>114622404</v>
      </c>
      <c r="AJ25" s="88">
        <v>38833245</v>
      </c>
      <c r="AK25" s="98">
        <f t="shared" si="9"/>
        <v>0.33879279830843539</v>
      </c>
      <c r="AL25" s="99">
        <f t="shared" si="22"/>
        <v>13156423.740947057</v>
      </c>
      <c r="AM25" s="90">
        <f t="shared" si="23"/>
        <v>1.2020467695133628E-2</v>
      </c>
      <c r="AO25" s="100">
        <f t="shared" si="10"/>
        <v>65550760.440808363</v>
      </c>
      <c r="AP25" s="101">
        <f t="shared" si="11"/>
        <v>40338982.167636767</v>
      </c>
      <c r="AQ25" s="101">
        <f t="shared" si="12"/>
        <v>19399043.994265016</v>
      </c>
      <c r="AR25" s="101">
        <f t="shared" si="13"/>
        <v>125288786.60271016</v>
      </c>
      <c r="AS25" s="102">
        <f t="shared" si="24"/>
        <v>2.3290268515792821E-2</v>
      </c>
    </row>
    <row r="26" spans="1:45" ht="14.25">
      <c r="A26" s="7" t="s">
        <v>19</v>
      </c>
      <c r="B26" s="85">
        <v>5527</v>
      </c>
      <c r="C26" s="192">
        <f t="shared" si="0"/>
        <v>1.1877188963562151E-3</v>
      </c>
      <c r="D26" s="87">
        <f t="shared" si="14"/>
        <v>1.0095610619027828E-3</v>
      </c>
      <c r="E26" s="88">
        <v>1894.8</v>
      </c>
      <c r="F26" s="189">
        <f t="shared" si="1"/>
        <v>2.9504762836082252E-2</v>
      </c>
      <c r="G26" s="89">
        <f t="shared" si="15"/>
        <v>4.425714425412338E-3</v>
      </c>
      <c r="H26" s="90">
        <f t="shared" si="16"/>
        <v>5.4352754873151204E-3</v>
      </c>
      <c r="J26" s="91">
        <v>814</v>
      </c>
      <c r="K26" s="92">
        <v>270</v>
      </c>
      <c r="L26" s="92">
        <v>1738</v>
      </c>
      <c r="M26" s="92">
        <v>531</v>
      </c>
      <c r="N26" s="93">
        <f t="shared" si="17"/>
        <v>4.760111435729139E-4</v>
      </c>
      <c r="O26" s="93">
        <f t="shared" si="17"/>
        <v>7.6736809795027456E-4</v>
      </c>
      <c r="P26" s="93">
        <f t="shared" si="17"/>
        <v>1.3005166148854527E-3</v>
      </c>
      <c r="Q26" s="93">
        <f t="shared" si="17"/>
        <v>3.3914109802518971E-3</v>
      </c>
      <c r="R26" s="94">
        <f t="shared" si="18"/>
        <v>5.9353068366605382E-3</v>
      </c>
      <c r="S26" s="95">
        <v>320.00000000721394</v>
      </c>
      <c r="T26" s="95">
        <v>216</v>
      </c>
      <c r="U26" s="95">
        <v>671</v>
      </c>
      <c r="V26" s="95">
        <v>199</v>
      </c>
      <c r="W26" s="96">
        <f t="shared" si="19"/>
        <v>2.5166887926512352E-4</v>
      </c>
      <c r="X26" s="96">
        <f t="shared" si="3"/>
        <v>7.372818874416319E-4</v>
      </c>
      <c r="Y26" s="96">
        <f t="shared" si="3"/>
        <v>1.3625361447740343E-3</v>
      </c>
      <c r="Z26" s="96">
        <f t="shared" si="3"/>
        <v>3.6245082325513625E-3</v>
      </c>
      <c r="AA26" s="86">
        <f t="shared" si="20"/>
        <v>5.9759951440321521E-3</v>
      </c>
      <c r="AB26" s="97">
        <f t="shared" si="4"/>
        <v>5.0795958724273293E-3</v>
      </c>
      <c r="AC26" s="86">
        <f t="shared" si="5"/>
        <v>6.8552997328284624E-3</v>
      </c>
      <c r="AD26" s="86">
        <f t="shared" si="6"/>
        <v>0</v>
      </c>
      <c r="AE26" s="87">
        <f t="shared" si="21"/>
        <v>0</v>
      </c>
      <c r="AF26" s="87">
        <f t="shared" si="7"/>
        <v>0</v>
      </c>
      <c r="AG26" s="90">
        <f t="shared" si="8"/>
        <v>5.0795958724273293E-3</v>
      </c>
      <c r="AI26" s="88">
        <v>4638826</v>
      </c>
      <c r="AJ26" s="88">
        <v>1172091</v>
      </c>
      <c r="AK26" s="98">
        <f t="shared" si="9"/>
        <v>0.25266974876833059</v>
      </c>
      <c r="AL26" s="99">
        <f t="shared" si="22"/>
        <v>296151.93850362138</v>
      </c>
      <c r="AM26" s="90">
        <f t="shared" si="23"/>
        <v>2.7058149537662469E-4</v>
      </c>
      <c r="AO26" s="100">
        <f t="shared" si="10"/>
        <v>12426482.109171307</v>
      </c>
      <c r="AP26" s="101">
        <f t="shared" si="11"/>
        <v>7514490.9036011128</v>
      </c>
      <c r="AQ26" s="101">
        <f t="shared" si="12"/>
        <v>436673.7190242752</v>
      </c>
      <c r="AR26" s="101">
        <f t="shared" si="13"/>
        <v>20377646.731796693</v>
      </c>
      <c r="AS26" s="102">
        <f t="shared" si="24"/>
        <v>3.7880553956394277E-3</v>
      </c>
    </row>
    <row r="27" spans="1:45" ht="14.25">
      <c r="A27" s="7" t="s">
        <v>20</v>
      </c>
      <c r="B27" s="85">
        <v>357937</v>
      </c>
      <c r="C27" s="192">
        <f t="shared" si="0"/>
        <v>7.6918498028777746E-2</v>
      </c>
      <c r="D27" s="87">
        <f t="shared" si="14"/>
        <v>6.5380723324461085E-2</v>
      </c>
      <c r="E27" s="88">
        <v>151.27000000000001</v>
      </c>
      <c r="F27" s="189">
        <f t="shared" si="1"/>
        <v>2.3554915950043079E-3</v>
      </c>
      <c r="G27" s="89">
        <f t="shared" si="15"/>
        <v>3.5332373925064616E-4</v>
      </c>
      <c r="H27" s="90">
        <f t="shared" si="16"/>
        <v>6.5734047063711734E-2</v>
      </c>
      <c r="J27" s="91">
        <v>25525</v>
      </c>
      <c r="K27" s="92">
        <v>4815</v>
      </c>
      <c r="L27" s="92">
        <v>33044</v>
      </c>
      <c r="M27" s="92">
        <v>5258</v>
      </c>
      <c r="N27" s="93">
        <f t="shared" si="17"/>
        <v>1.4926516510686275E-2</v>
      </c>
      <c r="O27" s="93">
        <f t="shared" si="17"/>
        <v>1.3684731080113229E-2</v>
      </c>
      <c r="P27" s="93">
        <f t="shared" si="17"/>
        <v>2.4726277918455063E-2</v>
      </c>
      <c r="Q27" s="93">
        <f t="shared" si="17"/>
        <v>3.3581994226298442E-2</v>
      </c>
      <c r="R27" s="94">
        <f t="shared" si="18"/>
        <v>8.6919519735553008E-2</v>
      </c>
      <c r="S27" s="95">
        <v>20136.00000070727</v>
      </c>
      <c r="T27" s="95">
        <v>4791</v>
      </c>
      <c r="U27" s="95">
        <v>5994</v>
      </c>
      <c r="V27" s="95">
        <v>875</v>
      </c>
      <c r="W27" s="96">
        <f t="shared" si="19"/>
        <v>1.5836264227957138E-2</v>
      </c>
      <c r="X27" s="96">
        <f t="shared" si="3"/>
        <v>1.6353321864503972E-2</v>
      </c>
      <c r="Y27" s="96">
        <f t="shared" si="3"/>
        <v>1.2171448065239286E-2</v>
      </c>
      <c r="Z27" s="96">
        <f t="shared" si="3"/>
        <v>1.5936908057700715E-2</v>
      </c>
      <c r="AA27" s="86">
        <f t="shared" si="20"/>
        <v>6.0297942215401121E-2</v>
      </c>
      <c r="AB27" s="97">
        <f t="shared" si="4"/>
        <v>5.1253250883090955E-2</v>
      </c>
      <c r="AC27" s="86">
        <f t="shared" si="5"/>
        <v>-0.30627847002774872</v>
      </c>
      <c r="AD27" s="86">
        <f t="shared" si="6"/>
        <v>-0.30627847002774872</v>
      </c>
      <c r="AE27" s="87">
        <f t="shared" si="21"/>
        <v>5.7072059505151061E-2</v>
      </c>
      <c r="AF27" s="87">
        <f t="shared" si="7"/>
        <v>8.5608089257726595E-3</v>
      </c>
      <c r="AG27" s="90">
        <f t="shared" si="8"/>
        <v>5.9814059808863618E-2</v>
      </c>
      <c r="AI27" s="88">
        <v>251259203</v>
      </c>
      <c r="AJ27" s="88">
        <v>109841351</v>
      </c>
      <c r="AK27" s="98">
        <f t="shared" si="9"/>
        <v>0.43716349366912544</v>
      </c>
      <c r="AL27" s="99">
        <f t="shared" si="22"/>
        <v>48018628.752496682</v>
      </c>
      <c r="AM27" s="90">
        <f t="shared" si="23"/>
        <v>4.3872589318292306E-2</v>
      </c>
      <c r="AO27" s="100">
        <f t="shared" si="10"/>
        <v>150285475.26376384</v>
      </c>
      <c r="AP27" s="101">
        <f t="shared" si="11"/>
        <v>88485820.45295158</v>
      </c>
      <c r="AQ27" s="101">
        <f t="shared" si="12"/>
        <v>70803092.850740582</v>
      </c>
      <c r="AR27" s="101">
        <f t="shared" si="13"/>
        <v>309574388.56745601</v>
      </c>
      <c r="AS27" s="102">
        <f t="shared" si="24"/>
        <v>5.7547613245002655E-2</v>
      </c>
    </row>
    <row r="28" spans="1:45" ht="14.25">
      <c r="A28" s="7" t="s">
        <v>21</v>
      </c>
      <c r="B28" s="85">
        <v>14437</v>
      </c>
      <c r="C28" s="192">
        <f t="shared" si="0"/>
        <v>3.1024240468056226E-3</v>
      </c>
      <c r="D28" s="87">
        <f t="shared" si="14"/>
        <v>2.637060439784779E-3</v>
      </c>
      <c r="E28" s="88">
        <v>2479.16</v>
      </c>
      <c r="F28" s="189">
        <f t="shared" si="1"/>
        <v>3.8604088997625963E-2</v>
      </c>
      <c r="G28" s="89">
        <f t="shared" si="15"/>
        <v>5.7906133496438946E-3</v>
      </c>
      <c r="H28" s="90">
        <f t="shared" si="16"/>
        <v>8.4276737894286736E-3</v>
      </c>
      <c r="J28" s="91">
        <v>3166</v>
      </c>
      <c r="K28" s="92">
        <v>724</v>
      </c>
      <c r="L28" s="92">
        <v>6502</v>
      </c>
      <c r="M28" s="92">
        <v>971</v>
      </c>
      <c r="N28" s="93">
        <f t="shared" si="17"/>
        <v>1.8514143495722917E-3</v>
      </c>
      <c r="O28" s="93">
        <f t="shared" si="17"/>
        <v>2.0576833441333289E-3</v>
      </c>
      <c r="P28" s="93">
        <f t="shared" si="17"/>
        <v>4.8653389125346454E-3</v>
      </c>
      <c r="Q28" s="93">
        <f t="shared" si="17"/>
        <v>6.2016197021178754E-3</v>
      </c>
      <c r="R28" s="94">
        <f t="shared" si="18"/>
        <v>1.4976056308358143E-2</v>
      </c>
      <c r="S28" s="95">
        <v>1684.0000000044001</v>
      </c>
      <c r="T28" s="95">
        <v>572</v>
      </c>
      <c r="U28" s="95">
        <v>3480</v>
      </c>
      <c r="V28" s="95">
        <v>459</v>
      </c>
      <c r="W28" s="96">
        <f t="shared" si="19"/>
        <v>1.3244074771063164E-3</v>
      </c>
      <c r="X28" s="96">
        <f t="shared" si="3"/>
        <v>1.9524316648917288E-3</v>
      </c>
      <c r="Y28" s="96">
        <f t="shared" si="3"/>
        <v>7.0665063842230095E-3</v>
      </c>
      <c r="Z28" s="96">
        <f t="shared" si="3"/>
        <v>8.3600466268395745E-3</v>
      </c>
      <c r="AA28" s="86">
        <f t="shared" si="20"/>
        <v>1.8703392153060629E-2</v>
      </c>
      <c r="AB28" s="97">
        <f t="shared" si="4"/>
        <v>1.5897883330101534E-2</v>
      </c>
      <c r="AC28" s="86">
        <f t="shared" si="5"/>
        <v>0.24888634016568562</v>
      </c>
      <c r="AD28" s="86">
        <f t="shared" si="6"/>
        <v>0</v>
      </c>
      <c r="AE28" s="87">
        <f t="shared" si="21"/>
        <v>0</v>
      </c>
      <c r="AF28" s="87">
        <f t="shared" si="7"/>
        <v>0</v>
      </c>
      <c r="AG28" s="90">
        <f t="shared" si="8"/>
        <v>1.5897883330101534E-2</v>
      </c>
      <c r="AI28" s="88">
        <v>11154426</v>
      </c>
      <c r="AJ28" s="88">
        <v>3570963</v>
      </c>
      <c r="AK28" s="98">
        <f t="shared" si="9"/>
        <v>0.32013866065362756</v>
      </c>
      <c r="AL28" s="99">
        <f t="shared" si="22"/>
        <v>1143203.3120636598</v>
      </c>
      <c r="AM28" s="90">
        <f t="shared" si="23"/>
        <v>1.0444964948082306E-3</v>
      </c>
      <c r="AO28" s="100">
        <f t="shared" si="10"/>
        <v>19267898.712894745</v>
      </c>
      <c r="AP28" s="101">
        <f t="shared" si="11"/>
        <v>23518504.753306802</v>
      </c>
      <c r="AQ28" s="101">
        <f t="shared" si="12"/>
        <v>1685644.3499984147</v>
      </c>
      <c r="AR28" s="101">
        <f t="shared" si="13"/>
        <v>44472047.816199958</v>
      </c>
      <c r="AS28" s="102">
        <f t="shared" si="24"/>
        <v>8.2670282247275743E-3</v>
      </c>
    </row>
    <row r="29" spans="1:45" ht="14.25">
      <c r="A29" s="7" t="s">
        <v>22</v>
      </c>
      <c r="B29" s="85">
        <v>1277</v>
      </c>
      <c r="C29" s="192">
        <f t="shared" si="0"/>
        <v>2.7441958216878717E-4</v>
      </c>
      <c r="D29" s="87">
        <f t="shared" si="14"/>
        <v>2.3325664484346909E-4</v>
      </c>
      <c r="E29" s="88">
        <v>388.05</v>
      </c>
      <c r="F29" s="189">
        <f t="shared" si="1"/>
        <v>6.0424969487765032E-3</v>
      </c>
      <c r="G29" s="89">
        <f t="shared" si="15"/>
        <v>9.0637454231647541E-4</v>
      </c>
      <c r="H29" s="90">
        <f t="shared" si="16"/>
        <v>1.1396311871599446E-3</v>
      </c>
      <c r="J29" s="91">
        <v>248</v>
      </c>
      <c r="K29" s="92">
        <v>63</v>
      </c>
      <c r="L29" s="92">
        <v>357</v>
      </c>
      <c r="M29" s="92">
        <v>74</v>
      </c>
      <c r="N29" s="93">
        <f t="shared" si="17"/>
        <v>1.4502550811558066E-4</v>
      </c>
      <c r="O29" s="93">
        <f t="shared" si="17"/>
        <v>1.7905255618839739E-4</v>
      </c>
      <c r="P29" s="93">
        <f t="shared" si="17"/>
        <v>2.6713718729235136E-4</v>
      </c>
      <c r="Q29" s="93">
        <f t="shared" si="17"/>
        <v>4.7262601231382365E-4</v>
      </c>
      <c r="R29" s="94">
        <f t="shared" si="18"/>
        <v>1.0638412639101531E-3</v>
      </c>
      <c r="S29" s="95">
        <v>138</v>
      </c>
      <c r="T29" s="95">
        <v>45</v>
      </c>
      <c r="U29" s="95">
        <v>165</v>
      </c>
      <c r="V29" s="95">
        <v>30</v>
      </c>
      <c r="W29" s="96">
        <f t="shared" si="19"/>
        <v>1.0853220418063782E-4</v>
      </c>
      <c r="X29" s="96">
        <f t="shared" si="3"/>
        <v>1.5360039321700664E-4</v>
      </c>
      <c r="Y29" s="96">
        <f t="shared" si="3"/>
        <v>3.3504987166574612E-4</v>
      </c>
      <c r="Z29" s="96">
        <f t="shared" si="3"/>
        <v>5.4640827626402453E-4</v>
      </c>
      <c r="AA29" s="86">
        <f t="shared" si="20"/>
        <v>1.1435907453274151E-3</v>
      </c>
      <c r="AB29" s="97">
        <f t="shared" si="4"/>
        <v>9.7205213352830283E-4</v>
      </c>
      <c r="AC29" s="86">
        <f t="shared" si="5"/>
        <v>7.4963703818126448E-2</v>
      </c>
      <c r="AD29" s="86">
        <f t="shared" si="6"/>
        <v>0</v>
      </c>
      <c r="AE29" s="87">
        <f t="shared" si="21"/>
        <v>0</v>
      </c>
      <c r="AF29" s="87">
        <f t="shared" si="7"/>
        <v>0</v>
      </c>
      <c r="AG29" s="90">
        <f t="shared" si="8"/>
        <v>9.7205213352830283E-4</v>
      </c>
      <c r="AI29" s="88">
        <v>923877</v>
      </c>
      <c r="AJ29" s="88">
        <v>238307</v>
      </c>
      <c r="AK29" s="98">
        <f t="shared" si="9"/>
        <v>0.25794234513901743</v>
      </c>
      <c r="AL29" s="99">
        <f t="shared" si="22"/>
        <v>61469.466443043828</v>
      </c>
      <c r="AM29" s="90">
        <f t="shared" si="23"/>
        <v>5.61620505818795E-5</v>
      </c>
      <c r="AO29" s="100">
        <f t="shared" si="10"/>
        <v>2605499.3148640124</v>
      </c>
      <c r="AP29" s="101">
        <f t="shared" si="11"/>
        <v>1438003.5535649764</v>
      </c>
      <c r="AQ29" s="101">
        <f t="shared" si="12"/>
        <v>90636.247912973238</v>
      </c>
      <c r="AR29" s="101">
        <f t="shared" si="13"/>
        <v>4134139.116341962</v>
      </c>
      <c r="AS29" s="102">
        <f t="shared" si="24"/>
        <v>7.6850620643782329E-4</v>
      </c>
    </row>
    <row r="30" spans="1:45" ht="14.25">
      <c r="A30" s="7" t="s">
        <v>23</v>
      </c>
      <c r="B30" s="85">
        <v>5942</v>
      </c>
      <c r="C30" s="192">
        <f t="shared" si="0"/>
        <v>1.2768998882121639E-3</v>
      </c>
      <c r="D30" s="87">
        <f t="shared" si="14"/>
        <v>1.0853649049803393E-3</v>
      </c>
      <c r="E30" s="88">
        <v>1314.52</v>
      </c>
      <c r="F30" s="189">
        <f t="shared" si="1"/>
        <v>2.0468968146129852E-2</v>
      </c>
      <c r="G30" s="89">
        <f t="shared" si="15"/>
        <v>3.0703452219194775E-3</v>
      </c>
      <c r="H30" s="90">
        <f t="shared" si="16"/>
        <v>4.155710126899817E-3</v>
      </c>
      <c r="J30" s="91">
        <v>1391</v>
      </c>
      <c r="K30" s="92">
        <v>407</v>
      </c>
      <c r="L30" s="92">
        <v>3581</v>
      </c>
      <c r="M30" s="92">
        <v>1264</v>
      </c>
      <c r="N30" s="93">
        <f t="shared" si="17"/>
        <v>8.1342936205150277E-4</v>
      </c>
      <c r="O30" s="93">
        <f t="shared" si="17"/>
        <v>1.1567363550583768E-3</v>
      </c>
      <c r="P30" s="93">
        <f t="shared" si="17"/>
        <v>2.6796029907392442E-3</v>
      </c>
      <c r="Q30" s="93">
        <f t="shared" si="17"/>
        <v>8.072963237360448E-3</v>
      </c>
      <c r="R30" s="94">
        <f t="shared" si="18"/>
        <v>1.2722731945209571E-2</v>
      </c>
      <c r="S30" s="95">
        <v>1108.99999999377</v>
      </c>
      <c r="T30" s="95">
        <v>288</v>
      </c>
      <c r="U30" s="95">
        <v>3319</v>
      </c>
      <c r="V30" s="95">
        <v>607</v>
      </c>
      <c r="W30" s="96">
        <f t="shared" si="19"/>
        <v>8.721899596786318E-4</v>
      </c>
      <c r="X30" s="96">
        <f t="shared" si="3"/>
        <v>9.8304251658884239E-4</v>
      </c>
      <c r="Y30" s="96">
        <f t="shared" si="3"/>
        <v>6.739578933688554E-3</v>
      </c>
      <c r="Z30" s="96">
        <f t="shared" si="3"/>
        <v>1.1055660789742095E-2</v>
      </c>
      <c r="AA30" s="86">
        <f t="shared" si="20"/>
        <v>1.9650472199698121E-2</v>
      </c>
      <c r="AB30" s="97">
        <f t="shared" si="4"/>
        <v>1.6702901369743402E-2</v>
      </c>
      <c r="AC30" s="86">
        <f t="shared" si="5"/>
        <v>0.54451671891877107</v>
      </c>
      <c r="AD30" s="86">
        <f t="shared" si="6"/>
        <v>0</v>
      </c>
      <c r="AE30" s="87">
        <f t="shared" si="21"/>
        <v>0</v>
      </c>
      <c r="AF30" s="87">
        <f t="shared" si="7"/>
        <v>0</v>
      </c>
      <c r="AG30" s="90">
        <f t="shared" si="8"/>
        <v>1.6702901369743402E-2</v>
      </c>
      <c r="AI30" s="88">
        <v>792098</v>
      </c>
      <c r="AJ30" s="88">
        <v>140853</v>
      </c>
      <c r="AK30" s="98">
        <f t="shared" si="9"/>
        <v>0.17782269365659301</v>
      </c>
      <c r="AL30" s="99">
        <f t="shared" si="22"/>
        <v>25046.859869612093</v>
      </c>
      <c r="AM30" s="90">
        <f t="shared" si="23"/>
        <v>2.2884256075620923E-5</v>
      </c>
      <c r="AO30" s="100">
        <f t="shared" si="10"/>
        <v>9501056.1402715184</v>
      </c>
      <c r="AP30" s="101">
        <f t="shared" si="11"/>
        <v>24709406.724260822</v>
      </c>
      <c r="AQ30" s="101">
        <f t="shared" si="12"/>
        <v>36931.399147365846</v>
      </c>
      <c r="AR30" s="101">
        <f t="shared" si="13"/>
        <v>34247394.263679706</v>
      </c>
      <c r="AS30" s="102">
        <f t="shared" si="24"/>
        <v>6.3663399574345417E-3</v>
      </c>
    </row>
    <row r="31" spans="1:45" ht="14.25">
      <c r="A31" s="7" t="s">
        <v>24</v>
      </c>
      <c r="B31" s="85">
        <v>55213</v>
      </c>
      <c r="C31" s="192">
        <f t="shared" si="0"/>
        <v>1.1864940008054225E-2</v>
      </c>
      <c r="D31" s="87">
        <f t="shared" si="14"/>
        <v>1.0085199006846091E-2</v>
      </c>
      <c r="E31" s="88">
        <v>184.87</v>
      </c>
      <c r="F31" s="189">
        <f t="shared" si="1"/>
        <v>2.8786919492856905E-3</v>
      </c>
      <c r="G31" s="89">
        <f t="shared" si="15"/>
        <v>4.3180379239285356E-4</v>
      </c>
      <c r="H31" s="90">
        <f t="shared" si="16"/>
        <v>1.0517002799238945E-2</v>
      </c>
      <c r="J31" s="91">
        <v>870</v>
      </c>
      <c r="K31" s="92">
        <v>295</v>
      </c>
      <c r="L31" s="92">
        <v>1873</v>
      </c>
      <c r="M31" s="92">
        <v>57</v>
      </c>
      <c r="N31" s="93">
        <f t="shared" si="17"/>
        <v>5.0875883895385148E-4</v>
      </c>
      <c r="O31" s="93">
        <f t="shared" si="17"/>
        <v>8.3842069961233702E-4</v>
      </c>
      <c r="P31" s="93">
        <f t="shared" si="17"/>
        <v>1.4015348789876024E-3</v>
      </c>
      <c r="Q31" s="93">
        <f t="shared" si="17"/>
        <v>3.6404976624172905E-4</v>
      </c>
      <c r="R31" s="94">
        <f t="shared" si="18"/>
        <v>3.1127641837955201E-3</v>
      </c>
      <c r="S31" s="95">
        <v>2629.9999999954803</v>
      </c>
      <c r="T31" s="95">
        <v>513</v>
      </c>
      <c r="U31" s="95">
        <v>350</v>
      </c>
      <c r="V31" s="95">
        <v>123</v>
      </c>
      <c r="W31" s="96">
        <f t="shared" si="19"/>
        <v>2.0684036014100501E-3</v>
      </c>
      <c r="X31" s="96">
        <f t="shared" si="3"/>
        <v>1.7510444826738757E-3</v>
      </c>
      <c r="Y31" s="96">
        <f t="shared" si="3"/>
        <v>7.1071184898794629E-4</v>
      </c>
      <c r="Z31" s="96">
        <f t="shared" si="3"/>
        <v>2.2402739326825003E-3</v>
      </c>
      <c r="AA31" s="86">
        <f t="shared" si="20"/>
        <v>6.770433865754372E-3</v>
      </c>
      <c r="AB31" s="97">
        <f t="shared" si="4"/>
        <v>5.7548687858912165E-3</v>
      </c>
      <c r="AC31" s="86">
        <f t="shared" si="5"/>
        <v>1.1750551811794834</v>
      </c>
      <c r="AD31" s="86">
        <f t="shared" si="6"/>
        <v>0</v>
      </c>
      <c r="AE31" s="87">
        <f t="shared" si="21"/>
        <v>0</v>
      </c>
      <c r="AF31" s="87">
        <f t="shared" si="7"/>
        <v>0</v>
      </c>
      <c r="AG31" s="90">
        <f t="shared" si="8"/>
        <v>5.7548687858912165E-3</v>
      </c>
      <c r="AI31" s="88">
        <v>56111697</v>
      </c>
      <c r="AJ31" s="88">
        <v>5978316</v>
      </c>
      <c r="AK31" s="98">
        <f t="shared" si="9"/>
        <v>0.10654313306546405</v>
      </c>
      <c r="AL31" s="99">
        <f t="shared" si="22"/>
        <v>636948.5170953928</v>
      </c>
      <c r="AM31" s="90">
        <f t="shared" si="23"/>
        <v>5.8195290938974401E-4</v>
      </c>
      <c r="AO31" s="100">
        <f t="shared" si="10"/>
        <v>24044659.269222122</v>
      </c>
      <c r="AP31" s="101">
        <f t="shared" si="11"/>
        <v>8513454.6584180463</v>
      </c>
      <c r="AQ31" s="101">
        <f t="shared" si="12"/>
        <v>939175.61097997415</v>
      </c>
      <c r="AR31" s="101">
        <f t="shared" si="13"/>
        <v>33497289.538620144</v>
      </c>
      <c r="AS31" s="102">
        <f t="shared" si="24"/>
        <v>6.226900978613557E-3</v>
      </c>
    </row>
    <row r="32" spans="1:45" ht="14.25">
      <c r="A32" s="7" t="s">
        <v>25</v>
      </c>
      <c r="B32" s="85">
        <v>678006</v>
      </c>
      <c r="C32" s="192">
        <f t="shared" si="0"/>
        <v>0.14569939172116736</v>
      </c>
      <c r="D32" s="87">
        <f t="shared" si="14"/>
        <v>0.12384448296299225</v>
      </c>
      <c r="E32" s="88">
        <v>117.79</v>
      </c>
      <c r="F32" s="189">
        <f t="shared" si="1"/>
        <v>1.8341598134167874E-3</v>
      </c>
      <c r="G32" s="89">
        <f t="shared" si="15"/>
        <v>2.7512397201251811E-4</v>
      </c>
      <c r="H32" s="90">
        <f t="shared" si="16"/>
        <v>0.12411960693500476</v>
      </c>
      <c r="J32" s="91">
        <v>69698</v>
      </c>
      <c r="K32" s="92">
        <v>12447</v>
      </c>
      <c r="L32" s="92">
        <v>14729</v>
      </c>
      <c r="M32" s="92">
        <v>1417</v>
      </c>
      <c r="N32" s="93">
        <f t="shared" si="17"/>
        <v>4.0758015583224762E-2</v>
      </c>
      <c r="O32" s="93">
        <f t="shared" si="17"/>
        <v>3.5375669315507653E-2</v>
      </c>
      <c r="P32" s="93">
        <f t="shared" si="17"/>
        <v>1.1021466755263425E-2</v>
      </c>
      <c r="Q32" s="93">
        <f t="shared" si="17"/>
        <v>9.0501494520092984E-3</v>
      </c>
      <c r="R32" s="94">
        <f t="shared" si="18"/>
        <v>9.6205301106005142E-2</v>
      </c>
      <c r="S32" s="95">
        <v>32769.999999791457</v>
      </c>
      <c r="T32" s="95">
        <v>9468</v>
      </c>
      <c r="U32" s="95">
        <v>3881</v>
      </c>
      <c r="V32" s="95">
        <v>299</v>
      </c>
      <c r="W32" s="96">
        <f t="shared" si="19"/>
        <v>2.5772466166499041E-2</v>
      </c>
      <c r="X32" s="96">
        <f t="shared" si="3"/>
        <v>3.2317522732858199E-2</v>
      </c>
      <c r="Y32" s="96">
        <f t="shared" si="3"/>
        <v>7.8807791026349137E-3</v>
      </c>
      <c r="Z32" s="96">
        <f t="shared" si="3"/>
        <v>5.4458691534314436E-3</v>
      </c>
      <c r="AA32" s="86">
        <f t="shared" si="20"/>
        <v>7.1416637155423596E-2</v>
      </c>
      <c r="AB32" s="97">
        <f t="shared" si="4"/>
        <v>6.0704141582110058E-2</v>
      </c>
      <c r="AC32" s="86">
        <f t="shared" si="5"/>
        <v>-0.25766422084441909</v>
      </c>
      <c r="AD32" s="86">
        <f t="shared" si="6"/>
        <v>-0.25766422084441909</v>
      </c>
      <c r="AE32" s="87">
        <f t="shared" si="21"/>
        <v>4.80132597732017E-2</v>
      </c>
      <c r="AF32" s="87">
        <f t="shared" si="7"/>
        <v>7.2019889659802544E-3</v>
      </c>
      <c r="AG32" s="90">
        <f t="shared" si="8"/>
        <v>6.7906130548090318E-2</v>
      </c>
      <c r="AI32" s="88">
        <v>398453314</v>
      </c>
      <c r="AJ32" s="88">
        <v>177373678.80000001</v>
      </c>
      <c r="AK32" s="98">
        <f t="shared" si="9"/>
        <v>0.44515548639658198</v>
      </c>
      <c r="AL32" s="99">
        <f t="shared" si="22"/>
        <v>78958866.26016511</v>
      </c>
      <c r="AM32" s="90">
        <f t="shared" si="23"/>
        <v>7.2141375180149778E-2</v>
      </c>
      <c r="AO32" s="100">
        <f t="shared" si="10"/>
        <v>283770358.75638765</v>
      </c>
      <c r="AP32" s="101">
        <f t="shared" si="11"/>
        <v>100456810.5648398</v>
      </c>
      <c r="AQ32" s="101">
        <f t="shared" si="12"/>
        <v>116424231.27122313</v>
      </c>
      <c r="AR32" s="101">
        <f t="shared" si="13"/>
        <v>500651400.59245056</v>
      </c>
      <c r="AS32" s="102">
        <f t="shared" si="24"/>
        <v>9.3067431402146752E-2</v>
      </c>
    </row>
    <row r="33" spans="1:45" ht="14.25">
      <c r="A33" s="7" t="s">
        <v>26</v>
      </c>
      <c r="B33" s="85">
        <v>2030</v>
      </c>
      <c r="C33" s="192">
        <f t="shared" si="0"/>
        <v>4.3623473124717146E-4</v>
      </c>
      <c r="D33" s="87">
        <f t="shared" si="14"/>
        <v>3.7079952156009573E-4</v>
      </c>
      <c r="E33" s="88">
        <v>497.27</v>
      </c>
      <c r="F33" s="189">
        <f t="shared" si="1"/>
        <v>7.743209528973307E-3</v>
      </c>
      <c r="G33" s="89">
        <f t="shared" si="15"/>
        <v>1.1614814293459961E-3</v>
      </c>
      <c r="H33" s="90">
        <f t="shared" si="16"/>
        <v>1.5322809509060917E-3</v>
      </c>
      <c r="J33" s="91">
        <v>525</v>
      </c>
      <c r="K33" s="92">
        <v>111</v>
      </c>
      <c r="L33" s="92">
        <v>654</v>
      </c>
      <c r="M33" s="92">
        <v>69</v>
      </c>
      <c r="N33" s="93">
        <f t="shared" si="17"/>
        <v>3.070096441962897E-4</v>
      </c>
      <c r="O33" s="93">
        <f t="shared" si="17"/>
        <v>3.1547355137955733E-4</v>
      </c>
      <c r="P33" s="93">
        <f t="shared" si="17"/>
        <v>4.8937736831708065E-4</v>
      </c>
      <c r="Q33" s="93">
        <f t="shared" si="17"/>
        <v>4.4069182229261936E-4</v>
      </c>
      <c r="R33" s="94">
        <f t="shared" si="18"/>
        <v>1.5525523861855471E-3</v>
      </c>
      <c r="S33" s="95">
        <v>374.99999999594002</v>
      </c>
      <c r="T33" s="95">
        <v>98</v>
      </c>
      <c r="U33" s="95">
        <v>163</v>
      </c>
      <c r="V33" s="95">
        <v>24</v>
      </c>
      <c r="W33" s="96">
        <f t="shared" si="19"/>
        <v>2.9492446787897499E-4</v>
      </c>
      <c r="X33" s="96">
        <f t="shared" si="3"/>
        <v>3.3450752300592557E-4</v>
      </c>
      <c r="Y33" s="96">
        <f t="shared" si="3"/>
        <v>3.3098866110010071E-4</v>
      </c>
      <c r="Z33" s="96">
        <f t="shared" si="3"/>
        <v>4.3712662101121958E-4</v>
      </c>
      <c r="AA33" s="86">
        <f t="shared" si="20"/>
        <v>1.397547272996221E-3</v>
      </c>
      <c r="AB33" s="97">
        <f t="shared" si="4"/>
        <v>1.1879151820467877E-3</v>
      </c>
      <c r="AC33" s="86">
        <f t="shared" si="5"/>
        <v>-9.983889404862975E-2</v>
      </c>
      <c r="AD33" s="86">
        <f t="shared" si="6"/>
        <v>-9.983889404862975E-2</v>
      </c>
      <c r="AE33" s="87">
        <f t="shared" si="21"/>
        <v>1.8604021698148197E-2</v>
      </c>
      <c r="AF33" s="87">
        <f t="shared" si="7"/>
        <v>2.7906032547222294E-3</v>
      </c>
      <c r="AG33" s="90">
        <f t="shared" si="8"/>
        <v>3.9785184367690171E-3</v>
      </c>
      <c r="AI33" s="88">
        <v>719838</v>
      </c>
      <c r="AJ33" s="88">
        <v>186736</v>
      </c>
      <c r="AK33" s="98">
        <f t="shared" si="9"/>
        <v>0.25941392368838545</v>
      </c>
      <c r="AL33" s="99">
        <f t="shared" si="22"/>
        <v>48441.918453874343</v>
      </c>
      <c r="AM33" s="90">
        <f t="shared" si="23"/>
        <v>4.4259331208131035E-5</v>
      </c>
      <c r="AO33" s="100">
        <f t="shared" si="10"/>
        <v>3503200.87125229</v>
      </c>
      <c r="AP33" s="101">
        <f t="shared" si="11"/>
        <v>5885614.0042935694</v>
      </c>
      <c r="AQ33" s="101">
        <f t="shared" si="12"/>
        <v>71427.230207596003</v>
      </c>
      <c r="AR33" s="101">
        <f t="shared" si="13"/>
        <v>9460242.1057534553</v>
      </c>
      <c r="AS33" s="102">
        <f t="shared" si="24"/>
        <v>1.7585897736090074E-3</v>
      </c>
    </row>
    <row r="34" spans="1:45" ht="14.25">
      <c r="A34" s="7" t="s">
        <v>27</v>
      </c>
      <c r="B34" s="85">
        <v>16604</v>
      </c>
      <c r="C34" s="192">
        <f t="shared" si="0"/>
        <v>3.5680992500630713E-3</v>
      </c>
      <c r="D34" s="87">
        <f t="shared" si="14"/>
        <v>3.0328843625536104E-3</v>
      </c>
      <c r="E34" s="88">
        <v>170.12</v>
      </c>
      <c r="F34" s="189">
        <f t="shared" si="1"/>
        <v>2.6490132223318096E-3</v>
      </c>
      <c r="G34" s="89">
        <f t="shared" si="15"/>
        <v>3.9735198334977145E-4</v>
      </c>
      <c r="H34" s="90">
        <f t="shared" si="16"/>
        <v>3.430236345903382E-3</v>
      </c>
      <c r="J34" s="91">
        <v>1777</v>
      </c>
      <c r="K34" s="92">
        <v>482</v>
      </c>
      <c r="L34" s="92">
        <v>1571</v>
      </c>
      <c r="M34" s="92">
        <v>193</v>
      </c>
      <c r="N34" s="93">
        <f t="shared" si="17"/>
        <v>1.0391545480701082E-3</v>
      </c>
      <c r="O34" s="93">
        <f t="shared" si="17"/>
        <v>1.3698941600445642E-3</v>
      </c>
      <c r="P34" s="93">
        <f t="shared" si="17"/>
        <v>1.1755532807739047E-3</v>
      </c>
      <c r="Q34" s="93">
        <f t="shared" si="17"/>
        <v>1.2326597348184861E-3</v>
      </c>
      <c r="R34" s="94">
        <f t="shared" si="18"/>
        <v>4.8172617237070628E-3</v>
      </c>
      <c r="S34" s="95">
        <v>887.9999999826681</v>
      </c>
      <c r="T34" s="95">
        <v>349</v>
      </c>
      <c r="U34" s="95">
        <v>145</v>
      </c>
      <c r="V34" s="95">
        <v>79</v>
      </c>
      <c r="W34" s="96">
        <f t="shared" si="19"/>
        <v>6.9838113993134286E-4</v>
      </c>
      <c r="X34" s="96">
        <f t="shared" si="3"/>
        <v>1.1912563829496736E-3</v>
      </c>
      <c r="Y34" s="96">
        <f t="shared" si="3"/>
        <v>2.9443776600929206E-4</v>
      </c>
      <c r="Z34" s="96">
        <f t="shared" si="3"/>
        <v>1.4388751274952644E-3</v>
      </c>
      <c r="AA34" s="86">
        <f t="shared" si="20"/>
        <v>3.6229504163855729E-3</v>
      </c>
      <c r="AB34" s="97">
        <f t="shared" si="4"/>
        <v>3.0795078539277371E-3</v>
      </c>
      <c r="AC34" s="86">
        <f t="shared" si="5"/>
        <v>-0.24792327588180588</v>
      </c>
      <c r="AD34" s="86">
        <f t="shared" si="6"/>
        <v>-0.24792327588180588</v>
      </c>
      <c r="AE34" s="87">
        <f t="shared" si="21"/>
        <v>4.6198127973397771E-2</v>
      </c>
      <c r="AF34" s="87">
        <f t="shared" si="7"/>
        <v>6.9297191960096651E-3</v>
      </c>
      <c r="AG34" s="90">
        <f t="shared" si="8"/>
        <v>1.0009227049937402E-2</v>
      </c>
      <c r="AI34" s="88">
        <v>1892182</v>
      </c>
      <c r="AJ34" s="88">
        <v>512689</v>
      </c>
      <c r="AK34" s="98">
        <f t="shared" si="9"/>
        <v>0.27095120871036721</v>
      </c>
      <c r="AL34" s="99">
        <f t="shared" si="22"/>
        <v>138913.70424250944</v>
      </c>
      <c r="AM34" s="90">
        <f t="shared" si="23"/>
        <v>1.2691957382472024E-4</v>
      </c>
      <c r="AO34" s="100">
        <f t="shared" si="10"/>
        <v>7842430.5597899901</v>
      </c>
      <c r="AP34" s="101">
        <f t="shared" si="11"/>
        <v>14807131.808871839</v>
      </c>
      <c r="AQ34" s="101">
        <f t="shared" si="12"/>
        <v>204827.17135506132</v>
      </c>
      <c r="AR34" s="101">
        <f t="shared" si="13"/>
        <v>22854389.54001689</v>
      </c>
      <c r="AS34" s="102">
        <f t="shared" si="24"/>
        <v>4.2484637578891369E-3</v>
      </c>
    </row>
    <row r="35" spans="1:45" ht="14.25">
      <c r="A35" s="7" t="s">
        <v>28</v>
      </c>
      <c r="B35" s="85">
        <v>1594</v>
      </c>
      <c r="C35" s="192">
        <f t="shared" si="0"/>
        <v>3.425409663093553E-4</v>
      </c>
      <c r="D35" s="87">
        <f t="shared" si="14"/>
        <v>2.9115982136295197E-4</v>
      </c>
      <c r="E35" s="88">
        <v>444.11</v>
      </c>
      <c r="F35" s="189">
        <f t="shared" si="1"/>
        <v>6.9154318255924057E-3</v>
      </c>
      <c r="G35" s="89">
        <f t="shared" si="15"/>
        <v>1.0373147738388607E-3</v>
      </c>
      <c r="H35" s="90">
        <f t="shared" si="16"/>
        <v>1.3284745952018128E-3</v>
      </c>
      <c r="J35" s="91">
        <v>236</v>
      </c>
      <c r="K35" s="92">
        <v>70</v>
      </c>
      <c r="L35" s="92">
        <v>392</v>
      </c>
      <c r="M35" s="92">
        <v>106</v>
      </c>
      <c r="N35" s="93">
        <f t="shared" si="17"/>
        <v>1.3800814481966547E-4</v>
      </c>
      <c r="O35" s="93">
        <f t="shared" si="17"/>
        <v>1.9894728465377488E-4</v>
      </c>
      <c r="P35" s="93">
        <f t="shared" si="17"/>
        <v>2.9332710761513091E-4</v>
      </c>
      <c r="Q35" s="93">
        <f t="shared" si="17"/>
        <v>6.7700482844953124E-4</v>
      </c>
      <c r="R35" s="94">
        <f t="shared" si="18"/>
        <v>1.3072873655381025E-3</v>
      </c>
      <c r="S35" s="95">
        <v>156.00000000186</v>
      </c>
      <c r="T35" s="95">
        <v>60</v>
      </c>
      <c r="U35" s="95">
        <v>117</v>
      </c>
      <c r="V35" s="95">
        <v>25</v>
      </c>
      <c r="W35" s="96">
        <f t="shared" si="19"/>
        <v>1.2268857864044472E-4</v>
      </c>
      <c r="X35" s="96">
        <f t="shared" si="3"/>
        <v>2.0480052428934218E-4</v>
      </c>
      <c r="Y35" s="96">
        <f t="shared" si="3"/>
        <v>2.3758081809025633E-4</v>
      </c>
      <c r="Z35" s="96">
        <f t="shared" si="3"/>
        <v>4.5534023022002039E-4</v>
      </c>
      <c r="AA35" s="86">
        <f t="shared" si="20"/>
        <v>1.0204101512400637E-3</v>
      </c>
      <c r="AB35" s="97">
        <f t="shared" si="4"/>
        <v>8.6734862855405406E-4</v>
      </c>
      <c r="AC35" s="86">
        <f t="shared" si="5"/>
        <v>-0.21944464687758616</v>
      </c>
      <c r="AD35" s="86">
        <f t="shared" si="6"/>
        <v>-0.21944464687758616</v>
      </c>
      <c r="AE35" s="87">
        <f t="shared" si="21"/>
        <v>4.0891408212760681E-2</v>
      </c>
      <c r="AF35" s="87">
        <f t="shared" si="7"/>
        <v>6.1337112319141017E-3</v>
      </c>
      <c r="AG35" s="90">
        <f t="shared" si="8"/>
        <v>7.0010598604681555E-3</v>
      </c>
      <c r="AI35" s="88">
        <v>629204</v>
      </c>
      <c r="AJ35" s="88">
        <v>269754</v>
      </c>
      <c r="AK35" s="98">
        <f t="shared" si="9"/>
        <v>0.42872264003407479</v>
      </c>
      <c r="AL35" s="99">
        <f t="shared" si="22"/>
        <v>115649.64703975181</v>
      </c>
      <c r="AM35" s="90">
        <f t="shared" si="23"/>
        <v>1.0566418911153687E-4</v>
      </c>
      <c r="AO35" s="100">
        <f t="shared" si="10"/>
        <v>3037245.4585404205</v>
      </c>
      <c r="AP35" s="101">
        <f t="shared" si="11"/>
        <v>10357005.155198492</v>
      </c>
      <c r="AQ35" s="101">
        <f t="shared" si="12"/>
        <v>170524.50080814058</v>
      </c>
      <c r="AR35" s="101">
        <f t="shared" si="13"/>
        <v>13564775.114547053</v>
      </c>
      <c r="AS35" s="102">
        <f t="shared" si="24"/>
        <v>2.5215924213229735E-3</v>
      </c>
    </row>
    <row r="36" spans="1:45" ht="14.25">
      <c r="A36" s="7" t="s">
        <v>29</v>
      </c>
      <c r="B36" s="85">
        <v>6914</v>
      </c>
      <c r="C36" s="192">
        <f t="shared" si="0"/>
        <v>1.4857768137157357E-3</v>
      </c>
      <c r="D36" s="87">
        <f t="shared" si="14"/>
        <v>1.2629102916583753E-3</v>
      </c>
      <c r="E36" s="88">
        <v>127.8</v>
      </c>
      <c r="F36" s="189">
        <f t="shared" si="1"/>
        <v>1.990029918963116E-3</v>
      </c>
      <c r="G36" s="89">
        <f t="shared" si="15"/>
        <v>2.9850448784446741E-4</v>
      </c>
      <c r="H36" s="90">
        <f t="shared" si="16"/>
        <v>1.5614147795028426E-3</v>
      </c>
      <c r="J36" s="91">
        <v>1201</v>
      </c>
      <c r="K36" s="92">
        <v>234</v>
      </c>
      <c r="L36" s="92">
        <v>2745</v>
      </c>
      <c r="M36" s="92">
        <v>176</v>
      </c>
      <c r="N36" s="93">
        <f t="shared" si="17"/>
        <v>7.0232110986617887E-4</v>
      </c>
      <c r="O36" s="93">
        <f t="shared" si="17"/>
        <v>6.6505235155690464E-4</v>
      </c>
      <c r="P36" s="93">
        <f t="shared" si="17"/>
        <v>2.0540380367437099E-3</v>
      </c>
      <c r="Q36" s="93">
        <f t="shared" si="17"/>
        <v>1.1240834887463913E-3</v>
      </c>
      <c r="R36" s="94">
        <f t="shared" si="18"/>
        <v>4.5454949869131846E-3</v>
      </c>
      <c r="S36" s="95">
        <v>649.99999999475995</v>
      </c>
      <c r="T36" s="95">
        <v>185</v>
      </c>
      <c r="U36" s="95">
        <v>941</v>
      </c>
      <c r="V36" s="95">
        <v>42</v>
      </c>
      <c r="W36" s="96">
        <f t="shared" si="19"/>
        <v>5.1120241099163676E-4</v>
      </c>
      <c r="X36" s="96">
        <f t="shared" si="3"/>
        <v>6.3146828322547177E-4</v>
      </c>
      <c r="Y36" s="96">
        <f t="shared" si="3"/>
        <v>1.9107995711361643E-3</v>
      </c>
      <c r="Z36" s="96">
        <f t="shared" si="3"/>
        <v>7.6497158676963432E-4</v>
      </c>
      <c r="AA36" s="86">
        <f t="shared" si="20"/>
        <v>3.8184418521229071E-3</v>
      </c>
      <c r="AB36" s="97">
        <f t="shared" si="4"/>
        <v>3.2456755743044711E-3</v>
      </c>
      <c r="AC36" s="86">
        <f t="shared" si="5"/>
        <v>-0.15995026655700142</v>
      </c>
      <c r="AD36" s="86">
        <f t="shared" si="6"/>
        <v>-0.15995026655700142</v>
      </c>
      <c r="AE36" s="87">
        <f t="shared" si="21"/>
        <v>2.9805200247927655E-2</v>
      </c>
      <c r="AF36" s="87">
        <f t="shared" si="7"/>
        <v>4.4707800371891482E-3</v>
      </c>
      <c r="AG36" s="90">
        <f t="shared" si="8"/>
        <v>7.7164556114936193E-3</v>
      </c>
      <c r="AI36" s="88">
        <v>1525497</v>
      </c>
      <c r="AJ36" s="88">
        <v>479037</v>
      </c>
      <c r="AK36" s="98">
        <f t="shared" si="9"/>
        <v>0.31402028322572906</v>
      </c>
      <c r="AL36" s="99">
        <f t="shared" si="22"/>
        <v>150427.33441560357</v>
      </c>
      <c r="AM36" s="90">
        <f t="shared" si="23"/>
        <v>1.3743909054708382E-4</v>
      </c>
      <c r="AO36" s="100">
        <f t="shared" si="10"/>
        <v>3569808.5345941205</v>
      </c>
      <c r="AP36" s="101">
        <f t="shared" si="11"/>
        <v>11415324.556695849</v>
      </c>
      <c r="AQ36" s="101">
        <f t="shared" si="12"/>
        <v>221803.92907124842</v>
      </c>
      <c r="AR36" s="101">
        <f t="shared" si="13"/>
        <v>15206937.020361217</v>
      </c>
      <c r="AS36" s="102">
        <f t="shared" si="24"/>
        <v>2.8268583016135772E-3</v>
      </c>
    </row>
    <row r="37" spans="1:45" ht="14.25">
      <c r="A37" s="7" t="s">
        <v>30</v>
      </c>
      <c r="B37" s="85">
        <v>3558</v>
      </c>
      <c r="C37" s="192">
        <f t="shared" si="0"/>
        <v>7.6459269644208675E-4</v>
      </c>
      <c r="D37" s="87">
        <f t="shared" si="14"/>
        <v>6.4990379197577377E-4</v>
      </c>
      <c r="E37" s="88">
        <v>561.88</v>
      </c>
      <c r="F37" s="189">
        <f t="shared" si="1"/>
        <v>8.7492802102268827E-3</v>
      </c>
      <c r="G37" s="89">
        <f t="shared" si="15"/>
        <v>1.3123920315340324E-3</v>
      </c>
      <c r="H37" s="90">
        <f t="shared" si="16"/>
        <v>1.9622958235098061E-3</v>
      </c>
      <c r="J37" s="91">
        <v>779</v>
      </c>
      <c r="K37" s="92">
        <v>226</v>
      </c>
      <c r="L37" s="92">
        <v>2400</v>
      </c>
      <c r="M37" s="92">
        <v>462</v>
      </c>
      <c r="N37" s="93">
        <f t="shared" si="17"/>
        <v>4.5554383395982794E-4</v>
      </c>
      <c r="O37" s="93">
        <f t="shared" si="17"/>
        <v>6.4231551902504459E-4</v>
      </c>
      <c r="P37" s="93">
        <f t="shared" si="17"/>
        <v>1.795880250704883E-3</v>
      </c>
      <c r="Q37" s="93">
        <f t="shared" si="17"/>
        <v>2.9507191579592777E-3</v>
      </c>
      <c r="R37" s="94">
        <f t="shared" si="18"/>
        <v>5.8444587616490332E-3</v>
      </c>
      <c r="S37" s="95">
        <v>671.99999999645991</v>
      </c>
      <c r="T37" s="95">
        <v>188</v>
      </c>
      <c r="U37" s="95">
        <v>1437</v>
      </c>
      <c r="V37" s="95">
        <v>355</v>
      </c>
      <c r="W37" s="96">
        <f t="shared" si="19"/>
        <v>5.2850464644206086E-4</v>
      </c>
      <c r="X37" s="96">
        <f t="shared" si="3"/>
        <v>6.4170830943993879E-4</v>
      </c>
      <c r="Y37" s="96">
        <f t="shared" si="3"/>
        <v>2.9179797914162253E-3</v>
      </c>
      <c r="Z37" s="96">
        <f t="shared" si="3"/>
        <v>6.4658312691242897E-3</v>
      </c>
      <c r="AA37" s="86">
        <f t="shared" si="20"/>
        <v>1.0554024016422515E-2</v>
      </c>
      <c r="AB37" s="97">
        <f t="shared" si="4"/>
        <v>8.9709204139591381E-3</v>
      </c>
      <c r="AC37" s="86">
        <f t="shared" si="5"/>
        <v>0.80581717603644487</v>
      </c>
      <c r="AD37" s="86">
        <f t="shared" si="6"/>
        <v>0</v>
      </c>
      <c r="AE37" s="87">
        <f t="shared" si="21"/>
        <v>0</v>
      </c>
      <c r="AF37" s="87">
        <f t="shared" si="7"/>
        <v>0</v>
      </c>
      <c r="AG37" s="90">
        <f t="shared" si="8"/>
        <v>8.9709204139591381E-3</v>
      </c>
      <c r="AI37" s="88">
        <v>411123</v>
      </c>
      <c r="AJ37" s="88">
        <v>85585</v>
      </c>
      <c r="AK37" s="98">
        <f t="shared" si="9"/>
        <v>0.2081737095711016</v>
      </c>
      <c r="AL37" s="99">
        <f t="shared" si="22"/>
        <v>17816.54693364273</v>
      </c>
      <c r="AM37" s="90">
        <f t="shared" si="23"/>
        <v>1.6278225076328237E-5</v>
      </c>
      <c r="AO37" s="100">
        <f t="shared" si="10"/>
        <v>4486328.9819724364</v>
      </c>
      <c r="AP37" s="101">
        <f t="shared" si="11"/>
        <v>13271114.777761269</v>
      </c>
      <c r="AQ37" s="101">
        <f t="shared" si="12"/>
        <v>26270.359225047527</v>
      </c>
      <c r="AR37" s="101">
        <f t="shared" si="13"/>
        <v>17783714.118958753</v>
      </c>
      <c r="AS37" s="102">
        <f t="shared" si="24"/>
        <v>3.3058623063533278E-3</v>
      </c>
    </row>
    <row r="38" spans="1:45" ht="14.25">
      <c r="A38" s="7" t="s">
        <v>31</v>
      </c>
      <c r="B38" s="85">
        <v>256970</v>
      </c>
      <c r="C38" s="192">
        <f t="shared" si="0"/>
        <v>5.5221299945116084E-2</v>
      </c>
      <c r="D38" s="87">
        <f t="shared" si="14"/>
        <v>4.6938104953348672E-2</v>
      </c>
      <c r="E38" s="88">
        <v>247</v>
      </c>
      <c r="F38" s="189">
        <f t="shared" si="1"/>
        <v>3.8461454615327825E-3</v>
      </c>
      <c r="G38" s="89">
        <f t="shared" si="15"/>
        <v>5.769218192299174E-4</v>
      </c>
      <c r="H38" s="90">
        <f t="shared" si="16"/>
        <v>4.7515026772578586E-2</v>
      </c>
      <c r="J38" s="91">
        <v>7826</v>
      </c>
      <c r="K38" s="92">
        <v>1628</v>
      </c>
      <c r="L38" s="92">
        <v>22499</v>
      </c>
      <c r="M38" s="92">
        <v>705</v>
      </c>
      <c r="N38" s="93">
        <f t="shared" si="17"/>
        <v>4.5764904294860248E-3</v>
      </c>
      <c r="O38" s="93">
        <f t="shared" si="17"/>
        <v>4.6269454202335072E-3</v>
      </c>
      <c r="P38" s="93">
        <f t="shared" si="17"/>
        <v>1.6835629066920484E-2</v>
      </c>
      <c r="Q38" s="93">
        <f t="shared" si="17"/>
        <v>4.5027207929898066E-3</v>
      </c>
      <c r="R38" s="94">
        <f t="shared" si="18"/>
        <v>3.0541785709629822E-2</v>
      </c>
      <c r="S38" s="95">
        <v>16068.000000124277</v>
      </c>
      <c r="T38" s="95">
        <v>2619</v>
      </c>
      <c r="U38" s="95">
        <v>3702</v>
      </c>
      <c r="V38" s="95">
        <v>260</v>
      </c>
      <c r="W38" s="96">
        <f t="shared" si="19"/>
        <v>1.2636923599912874E-2</v>
      </c>
      <c r="X38" s="96">
        <f t="shared" si="3"/>
        <v>8.939542885229787E-3</v>
      </c>
      <c r="Y38" s="96">
        <f t="shared" si="3"/>
        <v>7.5173007570096496E-3</v>
      </c>
      <c r="Z38" s="96">
        <f t="shared" si="3"/>
        <v>4.7355383942882124E-3</v>
      </c>
      <c r="AA38" s="86">
        <f t="shared" si="20"/>
        <v>3.3829305636440522E-2</v>
      </c>
      <c r="AB38" s="97">
        <f t="shared" si="4"/>
        <v>2.8754909790974444E-2</v>
      </c>
      <c r="AC38" s="86">
        <f t="shared" si="5"/>
        <v>0.10764006918476104</v>
      </c>
      <c r="AD38" s="86">
        <f t="shared" si="6"/>
        <v>0</v>
      </c>
      <c r="AE38" s="87">
        <f t="shared" si="21"/>
        <v>0</v>
      </c>
      <c r="AF38" s="87">
        <f t="shared" si="7"/>
        <v>0</v>
      </c>
      <c r="AG38" s="90">
        <f t="shared" si="8"/>
        <v>2.8754909790974444E-2</v>
      </c>
      <c r="AI38" s="88">
        <v>152108024</v>
      </c>
      <c r="AJ38" s="88">
        <v>43456424.030000001</v>
      </c>
      <c r="AK38" s="98">
        <f t="shared" si="9"/>
        <v>0.28569448795153635</v>
      </c>
      <c r="AL38" s="99">
        <f t="shared" si="22"/>
        <v>12415260.811455689</v>
      </c>
      <c r="AM38" s="90">
        <f t="shared" si="23"/>
        <v>1.1343298486676661E-2</v>
      </c>
      <c r="AO38" s="100">
        <f t="shared" si="10"/>
        <v>108631960.14336841</v>
      </c>
      <c r="AP38" s="101">
        <f t="shared" si="11"/>
        <v>42538523.434718251</v>
      </c>
      <c r="AQ38" s="101">
        <f t="shared" si="12"/>
        <v>18306205.046597742</v>
      </c>
      <c r="AR38" s="101">
        <f t="shared" si="13"/>
        <v>169476688.62468442</v>
      </c>
      <c r="AS38" s="102">
        <f t="shared" si="24"/>
        <v>3.1504476116866867E-2</v>
      </c>
    </row>
    <row r="39" spans="1:45" ht="14.25">
      <c r="A39" s="7" t="s">
        <v>32</v>
      </c>
      <c r="B39" s="85">
        <v>5349</v>
      </c>
      <c r="C39" s="192">
        <f t="shared" si="0"/>
        <v>1.1494677721384829E-3</v>
      </c>
      <c r="D39" s="87">
        <f t="shared" si="14"/>
        <v>9.7704760631771043E-4</v>
      </c>
      <c r="E39" s="88">
        <v>3428.68</v>
      </c>
      <c r="F39" s="189">
        <f t="shared" si="1"/>
        <v>5.3389481866591988E-2</v>
      </c>
      <c r="G39" s="89">
        <f t="shared" si="15"/>
        <v>8.0084222799887972E-3</v>
      </c>
      <c r="H39" s="90">
        <f t="shared" si="16"/>
        <v>8.9854698863065068E-3</v>
      </c>
      <c r="J39" s="91">
        <v>900</v>
      </c>
      <c r="K39" s="92">
        <v>209</v>
      </c>
      <c r="L39" s="92">
        <v>2198</v>
      </c>
      <c r="M39" s="92">
        <v>203</v>
      </c>
      <c r="N39" s="93">
        <f t="shared" si="17"/>
        <v>5.2630224719363945E-4</v>
      </c>
      <c r="O39" s="93">
        <f t="shared" si="17"/>
        <v>5.9399974989484219E-4</v>
      </c>
      <c r="P39" s="93">
        <f t="shared" si="17"/>
        <v>1.6447269962705554E-3</v>
      </c>
      <c r="Q39" s="93">
        <f t="shared" si="17"/>
        <v>1.2965281148608946E-3</v>
      </c>
      <c r="R39" s="94">
        <f t="shared" si="18"/>
        <v>4.0615571082199316E-3</v>
      </c>
      <c r="S39" s="95">
        <v>711.99999999240003</v>
      </c>
      <c r="T39" s="95">
        <v>170</v>
      </c>
      <c r="U39" s="95">
        <v>749</v>
      </c>
      <c r="V39" s="95">
        <v>32</v>
      </c>
      <c r="W39" s="96">
        <f t="shared" si="19"/>
        <v>5.5996325634629924E-4</v>
      </c>
      <c r="X39" s="96">
        <f t="shared" si="3"/>
        <v>5.8026815215313622E-4</v>
      </c>
      <c r="Y39" s="96">
        <f t="shared" si="3"/>
        <v>1.5209233568342052E-3</v>
      </c>
      <c r="Z39" s="96">
        <f t="shared" si="3"/>
        <v>5.8283549468162615E-4</v>
      </c>
      <c r="AA39" s="86">
        <f t="shared" si="20"/>
        <v>3.2439902600152671E-3</v>
      </c>
      <c r="AB39" s="97">
        <f t="shared" si="4"/>
        <v>2.7573917210129768E-3</v>
      </c>
      <c r="AC39" s="86">
        <f t="shared" si="5"/>
        <v>-0.20129394378083273</v>
      </c>
      <c r="AD39" s="86">
        <f t="shared" si="6"/>
        <v>-0.20129394378083273</v>
      </c>
      <c r="AE39" s="87">
        <f t="shared" si="21"/>
        <v>3.7509198529186154E-2</v>
      </c>
      <c r="AF39" s="87">
        <f t="shared" si="7"/>
        <v>5.6263797793779232E-3</v>
      </c>
      <c r="AG39" s="90">
        <f t="shared" si="8"/>
        <v>8.3837715003909005E-3</v>
      </c>
      <c r="AI39" s="88">
        <v>2837623</v>
      </c>
      <c r="AJ39" s="88">
        <v>944926</v>
      </c>
      <c r="AK39" s="98">
        <f t="shared" si="9"/>
        <v>0.33299913342963461</v>
      </c>
      <c r="AL39" s="99">
        <f t="shared" si="22"/>
        <v>314659.53915513091</v>
      </c>
      <c r="AM39" s="90">
        <f t="shared" si="23"/>
        <v>2.8749110699497854E-4</v>
      </c>
      <c r="AO39" s="100">
        <f t="shared" si="10"/>
        <v>20543168.611282531</v>
      </c>
      <c r="AP39" s="101">
        <f t="shared" si="11"/>
        <v>12402517.101710433</v>
      </c>
      <c r="AQ39" s="101">
        <f t="shared" si="12"/>
        <v>463963.03155603143</v>
      </c>
      <c r="AR39" s="101">
        <f t="shared" si="13"/>
        <v>33409648.744548999</v>
      </c>
      <c r="AS39" s="102">
        <f t="shared" si="24"/>
        <v>6.2106091963862551E-3</v>
      </c>
    </row>
    <row r="40" spans="1:45" ht="14.25">
      <c r="A40" s="7" t="s">
        <v>33</v>
      </c>
      <c r="B40" s="85">
        <v>78669</v>
      </c>
      <c r="C40" s="192">
        <f t="shared" ref="C40:C58" si="25">+B40/$B$59</f>
        <v>1.6905492646543709E-2</v>
      </c>
      <c r="D40" s="87">
        <f t="shared" si="14"/>
        <v>1.4369668749562152E-2</v>
      </c>
      <c r="E40" s="88">
        <v>2539.67</v>
      </c>
      <c r="F40" s="189">
        <f t="shared" ref="F40:F59" si="26">+E40/$E$59</f>
        <v>3.9546316778505917E-2</v>
      </c>
      <c r="G40" s="89">
        <f t="shared" si="15"/>
        <v>5.9319475167758876E-3</v>
      </c>
      <c r="H40" s="90">
        <f t="shared" si="16"/>
        <v>2.030161626633804E-2</v>
      </c>
      <c r="J40" s="91">
        <v>12929</v>
      </c>
      <c r="K40" s="92">
        <v>2053</v>
      </c>
      <c r="L40" s="92">
        <v>23315</v>
      </c>
      <c r="M40" s="92">
        <v>2592</v>
      </c>
      <c r="N40" s="93">
        <f t="shared" si="17"/>
        <v>7.5606241710739607E-3</v>
      </c>
      <c r="O40" s="93">
        <f t="shared" si="17"/>
        <v>5.8348396484885689E-3</v>
      </c>
      <c r="P40" s="93">
        <f t="shared" si="17"/>
        <v>1.7446228352160146E-2</v>
      </c>
      <c r="Q40" s="93">
        <f t="shared" si="17"/>
        <v>1.6554684106992311E-2</v>
      </c>
      <c r="R40" s="94">
        <f t="shared" si="18"/>
        <v>4.7396376278714986E-2</v>
      </c>
      <c r="S40" s="95">
        <v>10671.999999957041</v>
      </c>
      <c r="T40" s="95">
        <v>1702</v>
      </c>
      <c r="U40" s="95">
        <v>11424</v>
      </c>
      <c r="V40" s="95">
        <v>888</v>
      </c>
      <c r="W40" s="96">
        <f t="shared" si="19"/>
        <v>8.3931571232688726E-3</v>
      </c>
      <c r="X40" s="96">
        <f t="shared" si="3"/>
        <v>5.8095082056743401E-3</v>
      </c>
      <c r="Y40" s="96">
        <f t="shared" si="3"/>
        <v>2.3197634750966568E-2</v>
      </c>
      <c r="Z40" s="96">
        <f t="shared" si="3"/>
        <v>1.6173684977415125E-2</v>
      </c>
      <c r="AA40" s="86">
        <f t="shared" si="20"/>
        <v>5.3573985057324913E-2</v>
      </c>
      <c r="AB40" s="97">
        <f t="shared" ref="AB40:AB58" si="27">+AA40*AB$4</f>
        <v>4.5537887298726175E-2</v>
      </c>
      <c r="AC40" s="86">
        <f t="shared" si="5"/>
        <v>0.13033926353952507</v>
      </c>
      <c r="AD40" s="86">
        <f t="shared" si="6"/>
        <v>0</v>
      </c>
      <c r="AE40" s="87">
        <f t="shared" si="21"/>
        <v>0</v>
      </c>
      <c r="AF40" s="87">
        <f t="shared" ref="AF40:AF58" si="28">+AE40*AF$4</f>
        <v>0</v>
      </c>
      <c r="AG40" s="90">
        <f t="shared" si="8"/>
        <v>4.5537887298726175E-2</v>
      </c>
      <c r="AI40" s="88">
        <v>28103333</v>
      </c>
      <c r="AJ40" s="88">
        <v>8662042.1999999993</v>
      </c>
      <c r="AK40" s="98">
        <f t="shared" ref="AK40:AK58" si="29">+AJ40/AI40</f>
        <v>0.30822117077714589</v>
      </c>
      <c r="AL40" s="99">
        <f t="shared" si="22"/>
        <v>2669824.7882050443</v>
      </c>
      <c r="AM40" s="90">
        <f t="shared" si="23"/>
        <v>2.4393059428758986E-3</v>
      </c>
      <c r="AO40" s="100">
        <f t="shared" ref="AO40:AO58" si="30">+H40*AO$6</f>
        <v>46414882.172886729</v>
      </c>
      <c r="AP40" s="101">
        <f t="shared" ref="AP40:AP58" si="31">+AG40*AP$6</f>
        <v>67366390.647917837</v>
      </c>
      <c r="AQ40" s="101">
        <f t="shared" ref="AQ40:AQ58" si="32">+AM40*AQ$6</f>
        <v>3936635.78668231</v>
      </c>
      <c r="AR40" s="101">
        <f t="shared" ref="AR40:AR58" si="33">SUM(AO40:AQ40)</f>
        <v>117717908.60748687</v>
      </c>
      <c r="AS40" s="102">
        <f t="shared" si="24"/>
        <v>2.1882897703206124E-2</v>
      </c>
    </row>
    <row r="41" spans="1:45" ht="14.25">
      <c r="A41" s="7" t="s">
        <v>34</v>
      </c>
      <c r="B41" s="85">
        <v>5488</v>
      </c>
      <c r="C41" s="192">
        <f t="shared" si="25"/>
        <v>1.1793380320613187E-3</v>
      </c>
      <c r="D41" s="87">
        <f t="shared" si="14"/>
        <v>1.0024373272521209E-3</v>
      </c>
      <c r="E41" s="88">
        <v>264.23</v>
      </c>
      <c r="F41" s="189">
        <f t="shared" si="26"/>
        <v>4.114441357493147E-3</v>
      </c>
      <c r="G41" s="89">
        <f t="shared" si="15"/>
        <v>6.1716620362397201E-4</v>
      </c>
      <c r="H41" s="90">
        <f t="shared" si="16"/>
        <v>1.6196035308760929E-3</v>
      </c>
      <c r="J41" s="91">
        <v>549</v>
      </c>
      <c r="K41" s="92">
        <v>170</v>
      </c>
      <c r="L41" s="92">
        <v>368</v>
      </c>
      <c r="M41" s="92">
        <v>141</v>
      </c>
      <c r="N41" s="93">
        <f t="shared" si="17"/>
        <v>3.2104437078812008E-4</v>
      </c>
      <c r="O41" s="93">
        <f t="shared" si="17"/>
        <v>4.8315769130202469E-4</v>
      </c>
      <c r="P41" s="93">
        <f t="shared" si="17"/>
        <v>2.7536830510808204E-4</v>
      </c>
      <c r="Q41" s="93">
        <f t="shared" si="17"/>
        <v>9.0054415859796135E-4</v>
      </c>
      <c r="R41" s="94">
        <f t="shared" si="18"/>
        <v>1.9801145257961881E-3</v>
      </c>
      <c r="S41" s="95">
        <v>273.99999999933596</v>
      </c>
      <c r="T41" s="95">
        <v>118</v>
      </c>
      <c r="U41" s="95">
        <v>143</v>
      </c>
      <c r="V41" s="95">
        <v>8</v>
      </c>
      <c r="W41" s="96">
        <f t="shared" si="19"/>
        <v>2.1549147786538184E-4</v>
      </c>
      <c r="X41" s="96">
        <f t="shared" si="3"/>
        <v>4.0277436443570628E-4</v>
      </c>
      <c r="Y41" s="96">
        <f t="shared" si="3"/>
        <v>2.9037655544364666E-4</v>
      </c>
      <c r="Z41" s="96">
        <f t="shared" si="3"/>
        <v>1.4570887367040654E-4</v>
      </c>
      <c r="AA41" s="86">
        <f t="shared" si="20"/>
        <v>1.0543512714151413E-3</v>
      </c>
      <c r="AB41" s="97">
        <f t="shared" si="27"/>
        <v>8.9619858070287008E-4</v>
      </c>
      <c r="AC41" s="86">
        <f t="shared" si="5"/>
        <v>-0.46753015662505931</v>
      </c>
      <c r="AD41" s="86">
        <f t="shared" si="6"/>
        <v>-0.46753015662505931</v>
      </c>
      <c r="AE41" s="87">
        <f t="shared" si="21"/>
        <v>8.7119766913229382E-2</v>
      </c>
      <c r="AF41" s="87">
        <f t="shared" si="28"/>
        <v>1.3067965036984408E-2</v>
      </c>
      <c r="AG41" s="90">
        <f t="shared" si="8"/>
        <v>1.3964163617687278E-2</v>
      </c>
      <c r="AI41" s="88">
        <v>1442240</v>
      </c>
      <c r="AJ41" s="88">
        <v>392555</v>
      </c>
      <c r="AK41" s="98">
        <f t="shared" si="29"/>
        <v>0.27218424118038609</v>
      </c>
      <c r="AL41" s="99">
        <f t="shared" si="22"/>
        <v>106847.28479656646</v>
      </c>
      <c r="AM41" s="90">
        <f t="shared" si="23"/>
        <v>9.7621843177074201E-5</v>
      </c>
      <c r="AO41" s="100">
        <f t="shared" si="30"/>
        <v>3702843.4616336501</v>
      </c>
      <c r="AP41" s="101">
        <f t="shared" si="31"/>
        <v>20657860.01817606</v>
      </c>
      <c r="AQ41" s="101">
        <f t="shared" si="32"/>
        <v>157545.48646721771</v>
      </c>
      <c r="AR41" s="101">
        <f t="shared" si="33"/>
        <v>24518248.966276925</v>
      </c>
      <c r="AS41" s="102">
        <f t="shared" si="24"/>
        <v>4.557763048439461E-3</v>
      </c>
    </row>
    <row r="42" spans="1:45" ht="14.25">
      <c r="A42" s="7" t="s">
        <v>35</v>
      </c>
      <c r="B42" s="85">
        <v>862</v>
      </c>
      <c r="C42" s="192">
        <f t="shared" si="25"/>
        <v>1.8523859031283833E-4</v>
      </c>
      <c r="D42" s="87">
        <f t="shared" si="14"/>
        <v>1.5745280176591257E-4</v>
      </c>
      <c r="E42" s="88">
        <v>207.92</v>
      </c>
      <c r="F42" s="189">
        <f t="shared" si="26"/>
        <v>3.2376136208983647E-3</v>
      </c>
      <c r="G42" s="89">
        <f t="shared" si="15"/>
        <v>4.8564204313475466E-4</v>
      </c>
      <c r="H42" s="90">
        <f t="shared" si="16"/>
        <v>6.430948449006672E-4</v>
      </c>
      <c r="J42" s="91">
        <v>166</v>
      </c>
      <c r="K42" s="92">
        <v>24</v>
      </c>
      <c r="L42" s="92">
        <v>127</v>
      </c>
      <c r="M42" s="92">
        <v>48</v>
      </c>
      <c r="N42" s="93">
        <f t="shared" si="17"/>
        <v>9.7073525593493502E-5</v>
      </c>
      <c r="O42" s="93">
        <f t="shared" si="17"/>
        <v>6.821049759557996E-5</v>
      </c>
      <c r="P42" s="93">
        <f t="shared" si="17"/>
        <v>9.5031996599800059E-5</v>
      </c>
      <c r="Q42" s="93">
        <f t="shared" si="17"/>
        <v>3.0656822420356133E-4</v>
      </c>
      <c r="R42" s="94">
        <f t="shared" si="18"/>
        <v>5.668842439924349E-4</v>
      </c>
      <c r="S42" s="95">
        <v>122.00000000265999</v>
      </c>
      <c r="T42" s="95">
        <v>28</v>
      </c>
      <c r="U42" s="95">
        <v>16</v>
      </c>
      <c r="V42" s="95">
        <v>3</v>
      </c>
      <c r="W42" s="96">
        <f t="shared" si="19"/>
        <v>9.5948760219757314E-5</v>
      </c>
      <c r="X42" s="96">
        <f t="shared" si="3"/>
        <v>9.5573578001693018E-5</v>
      </c>
      <c r="Y42" s="96">
        <f t="shared" si="3"/>
        <v>3.2489684525163258E-5</v>
      </c>
      <c r="Z42" s="96">
        <f t="shared" si="3"/>
        <v>5.4640827626402448E-5</v>
      </c>
      <c r="AA42" s="86">
        <f t="shared" si="20"/>
        <v>2.7865285037301604E-4</v>
      </c>
      <c r="AB42" s="97">
        <f t="shared" si="27"/>
        <v>2.3685492281706362E-4</v>
      </c>
      <c r="AC42" s="86">
        <f t="shared" si="5"/>
        <v>-0.50844841195350865</v>
      </c>
      <c r="AD42" s="86">
        <f t="shared" si="6"/>
        <v>-0.50844841195350865</v>
      </c>
      <c r="AE42" s="87">
        <f t="shared" si="21"/>
        <v>9.474449189876509E-2</v>
      </c>
      <c r="AF42" s="87">
        <f t="shared" si="28"/>
        <v>1.4211673784814763E-2</v>
      </c>
      <c r="AG42" s="90">
        <f t="shared" si="8"/>
        <v>1.4448528707631827E-2</v>
      </c>
      <c r="AI42" s="88">
        <v>669233</v>
      </c>
      <c r="AJ42" s="88">
        <v>276232</v>
      </c>
      <c r="AK42" s="98">
        <f t="shared" si="29"/>
        <v>0.4127590839065019</v>
      </c>
      <c r="AL42" s="99">
        <f t="shared" si="22"/>
        <v>114017.26726566083</v>
      </c>
      <c r="AM42" s="90">
        <f t="shared" si="23"/>
        <v>1.041727527814968E-4</v>
      </c>
      <c r="AO42" s="100">
        <f t="shared" si="30"/>
        <v>1470285.4718788094</v>
      </c>
      <c r="AP42" s="101">
        <f t="shared" si="31"/>
        <v>21374404.631925214</v>
      </c>
      <c r="AQ42" s="101">
        <f t="shared" si="32"/>
        <v>168117.56958758537</v>
      </c>
      <c r="AR42" s="101">
        <f t="shared" si="33"/>
        <v>23012807.673391607</v>
      </c>
      <c r="AS42" s="102">
        <f t="shared" si="24"/>
        <v>4.2779125295159832E-3</v>
      </c>
    </row>
    <row r="43" spans="1:45" ht="14.25">
      <c r="A43" s="7" t="s">
        <v>36</v>
      </c>
      <c r="B43" s="85">
        <v>7095</v>
      </c>
      <c r="C43" s="192">
        <f t="shared" si="25"/>
        <v>1.5246726198023062E-3</v>
      </c>
      <c r="D43" s="87">
        <f t="shared" si="14"/>
        <v>1.2959717268319602E-3</v>
      </c>
      <c r="E43" s="88">
        <v>1006.78</v>
      </c>
      <c r="F43" s="189">
        <f t="shared" si="26"/>
        <v>1.5677013472720547E-2</v>
      </c>
      <c r="G43" s="89">
        <f t="shared" si="15"/>
        <v>2.3515520209080819E-3</v>
      </c>
      <c r="H43" s="90">
        <f t="shared" si="16"/>
        <v>3.6475237477400424E-3</v>
      </c>
      <c r="J43" s="91">
        <v>1457</v>
      </c>
      <c r="K43" s="92">
        <v>857</v>
      </c>
      <c r="L43" s="92">
        <v>6591</v>
      </c>
      <c r="M43" s="92">
        <v>540</v>
      </c>
      <c r="N43" s="93">
        <f t="shared" si="17"/>
        <v>8.5202486017903634E-4</v>
      </c>
      <c r="O43" s="93">
        <f t="shared" si="17"/>
        <v>2.4356831849755012E-3</v>
      </c>
      <c r="P43" s="93">
        <f t="shared" si="17"/>
        <v>4.9319361384982845E-3</v>
      </c>
      <c r="Q43" s="93">
        <f t="shared" si="17"/>
        <v>3.4488925222900648E-3</v>
      </c>
      <c r="R43" s="94">
        <f t="shared" si="18"/>
        <v>1.1668536705942888E-2</v>
      </c>
      <c r="S43" s="95">
        <v>1103.9999999949041</v>
      </c>
      <c r="T43" s="95">
        <v>656</v>
      </c>
      <c r="U43" s="95">
        <v>3161</v>
      </c>
      <c r="V43" s="95">
        <v>242</v>
      </c>
      <c r="W43" s="96">
        <f t="shared" si="19"/>
        <v>8.6825763344109482E-4</v>
      </c>
      <c r="X43" s="96">
        <f t="shared" si="3"/>
        <v>2.2391523988968078E-3</v>
      </c>
      <c r="Y43" s="96">
        <f t="shared" si="3"/>
        <v>6.4187432990025668E-3</v>
      </c>
      <c r="Z43" s="96">
        <f t="shared" si="3"/>
        <v>4.4076934285297974E-3</v>
      </c>
      <c r="AA43" s="86">
        <f t="shared" si="20"/>
        <v>1.3933846759870267E-2</v>
      </c>
      <c r="AB43" s="97">
        <f t="shared" si="27"/>
        <v>1.1843769745889727E-2</v>
      </c>
      <c r="AC43" s="86">
        <f t="shared" si="5"/>
        <v>0.19413831494172162</v>
      </c>
      <c r="AD43" s="86">
        <f t="shared" si="6"/>
        <v>0</v>
      </c>
      <c r="AE43" s="87">
        <f t="shared" si="21"/>
        <v>0</v>
      </c>
      <c r="AF43" s="87">
        <f t="shared" si="28"/>
        <v>0</v>
      </c>
      <c r="AG43" s="90">
        <f t="shared" si="8"/>
        <v>1.1843769745889727E-2</v>
      </c>
      <c r="AI43" s="88">
        <v>578340</v>
      </c>
      <c r="AJ43" s="88">
        <v>92033</v>
      </c>
      <c r="AK43" s="98">
        <f t="shared" si="29"/>
        <v>0.15913303593042155</v>
      </c>
      <c r="AL43" s="99">
        <f t="shared" si="22"/>
        <v>14645.490695784487</v>
      </c>
      <c r="AM43" s="90">
        <f t="shared" si="23"/>
        <v>1.3380965166099539E-5</v>
      </c>
      <c r="AO43" s="100">
        <f t="shared" si="30"/>
        <v>8339207.2213912522</v>
      </c>
      <c r="AP43" s="101">
        <f t="shared" si="31"/>
        <v>17521059.205307417</v>
      </c>
      <c r="AQ43" s="101">
        <f t="shared" si="32"/>
        <v>21594.661582758574</v>
      </c>
      <c r="AR43" s="101">
        <f t="shared" si="33"/>
        <v>25881861.088281427</v>
      </c>
      <c r="AS43" s="102">
        <f t="shared" si="24"/>
        <v>4.8112485624590209E-3</v>
      </c>
    </row>
    <row r="44" spans="1:45" ht="14.25">
      <c r="A44" s="7" t="s">
        <v>37</v>
      </c>
      <c r="B44" s="85">
        <v>5447</v>
      </c>
      <c r="C44" s="192">
        <f t="shared" si="25"/>
        <v>1.1705273798538634E-3</v>
      </c>
      <c r="D44" s="87">
        <f t="shared" si="14"/>
        <v>9.9494827287578387E-4</v>
      </c>
      <c r="E44" s="88">
        <v>3872.26</v>
      </c>
      <c r="F44" s="189">
        <f t="shared" si="26"/>
        <v>6.0296660829453175E-2</v>
      </c>
      <c r="G44" s="89">
        <f t="shared" si="15"/>
        <v>9.0444991244179752E-3</v>
      </c>
      <c r="H44" s="90">
        <f t="shared" si="16"/>
        <v>1.0039447397293759E-2</v>
      </c>
      <c r="J44" s="91">
        <v>871</v>
      </c>
      <c r="K44" s="92">
        <v>298</v>
      </c>
      <c r="L44" s="92">
        <v>2364</v>
      </c>
      <c r="M44" s="92">
        <v>407</v>
      </c>
      <c r="N44" s="93">
        <f t="shared" si="17"/>
        <v>5.0934361922851112E-4</v>
      </c>
      <c r="O44" s="93">
        <f t="shared" si="17"/>
        <v>8.4694701181178454E-4</v>
      </c>
      <c r="P44" s="93">
        <f t="shared" si="17"/>
        <v>1.7689420469443097E-3</v>
      </c>
      <c r="Q44" s="93">
        <f t="shared" si="17"/>
        <v>2.5994430677260304E-3</v>
      </c>
      <c r="R44" s="94">
        <f t="shared" si="18"/>
        <v>5.7246757457106359E-3</v>
      </c>
      <c r="S44" s="95">
        <v>541.99999999184001</v>
      </c>
      <c r="T44" s="95">
        <v>247</v>
      </c>
      <c r="U44" s="95">
        <v>493</v>
      </c>
      <c r="V44" s="95">
        <v>128</v>
      </c>
      <c r="W44" s="96">
        <f t="shared" si="19"/>
        <v>4.2626416423927597E-4</v>
      </c>
      <c r="X44" s="96">
        <f t="shared" si="3"/>
        <v>8.4309549165779193E-4</v>
      </c>
      <c r="Y44" s="96">
        <f t="shared" si="3"/>
        <v>1.0010884044315931E-3</v>
      </c>
      <c r="Z44" s="96">
        <f t="shared" si="3"/>
        <v>2.3313419787265046E-3</v>
      </c>
      <c r="AA44" s="86">
        <f t="shared" si="20"/>
        <v>4.6017900390551651E-3</v>
      </c>
      <c r="AB44" s="97">
        <f t="shared" si="27"/>
        <v>3.9115215331968906E-3</v>
      </c>
      <c r="AC44" s="86">
        <f t="shared" si="5"/>
        <v>-0.19614835084708904</v>
      </c>
      <c r="AD44" s="86">
        <f t="shared" si="6"/>
        <v>-0.19614835084708904</v>
      </c>
      <c r="AE44" s="87">
        <f t="shared" si="21"/>
        <v>3.655036656794089E-2</v>
      </c>
      <c r="AF44" s="87">
        <f t="shared" si="28"/>
        <v>5.4825549851911333E-3</v>
      </c>
      <c r="AG44" s="90">
        <f t="shared" si="8"/>
        <v>9.3940765183880247E-3</v>
      </c>
      <c r="AI44" s="88">
        <v>3535068</v>
      </c>
      <c r="AJ44" s="88">
        <v>620242</v>
      </c>
      <c r="AK44" s="98">
        <f t="shared" si="29"/>
        <v>0.17545405067172681</v>
      </c>
      <c r="AL44" s="99">
        <f t="shared" si="22"/>
        <v>108823.97129673319</v>
      </c>
      <c r="AM44" s="90">
        <f t="shared" si="23"/>
        <v>9.9427857994361521E-5</v>
      </c>
      <c r="AO44" s="100">
        <f t="shared" si="30"/>
        <v>22952840.892718565</v>
      </c>
      <c r="AP44" s="101">
        <f t="shared" si="31"/>
        <v>13897109.99025337</v>
      </c>
      <c r="AQ44" s="101">
        <f t="shared" si="32"/>
        <v>160460.09526476348</v>
      </c>
      <c r="AR44" s="101">
        <f t="shared" si="33"/>
        <v>37010410.978236698</v>
      </c>
      <c r="AS44" s="102">
        <f t="shared" si="24"/>
        <v>6.8799645438048593E-3</v>
      </c>
    </row>
    <row r="45" spans="1:45" ht="14.25">
      <c r="A45" s="7" t="s">
        <v>38</v>
      </c>
      <c r="B45" s="85">
        <v>59113</v>
      </c>
      <c r="C45" s="192">
        <f t="shared" si="25"/>
        <v>1.2703026437543865E-2</v>
      </c>
      <c r="D45" s="87">
        <f t="shared" si="14"/>
        <v>1.0797572471912285E-2</v>
      </c>
      <c r="E45" s="88">
        <v>1869.3</v>
      </c>
      <c r="F45" s="189">
        <f t="shared" si="26"/>
        <v>2.9107691138636562E-2</v>
      </c>
      <c r="G45" s="89">
        <f t="shared" si="15"/>
        <v>4.3661536707954845E-3</v>
      </c>
      <c r="H45" s="90">
        <f t="shared" si="16"/>
        <v>1.516372614270777E-2</v>
      </c>
      <c r="J45" s="91">
        <v>9097</v>
      </c>
      <c r="K45" s="92">
        <v>1608</v>
      </c>
      <c r="L45" s="92">
        <v>18077</v>
      </c>
      <c r="M45" s="92">
        <v>1611</v>
      </c>
      <c r="N45" s="93">
        <f t="shared" si="17"/>
        <v>5.3197461585783755E-3</v>
      </c>
      <c r="O45" s="93">
        <f t="shared" si="17"/>
        <v>4.5701033389038571E-3</v>
      </c>
      <c r="P45" s="93">
        <f t="shared" si="17"/>
        <v>1.3526719704996738E-2</v>
      </c>
      <c r="Q45" s="93">
        <f t="shared" si="17"/>
        <v>1.0289196024832026E-2</v>
      </c>
      <c r="R45" s="94">
        <f t="shared" si="18"/>
        <v>3.3705765227310995E-2</v>
      </c>
      <c r="S45" s="95">
        <v>5867.9999999965466</v>
      </c>
      <c r="T45" s="95">
        <v>1434</v>
      </c>
      <c r="U45" s="95">
        <v>7372</v>
      </c>
      <c r="V45" s="95">
        <v>494</v>
      </c>
      <c r="W45" s="96">
        <f t="shared" si="19"/>
        <v>4.6149780734174488E-3</v>
      </c>
      <c r="X45" s="96">
        <f t="shared" si="3"/>
        <v>4.8947325305152781E-3</v>
      </c>
      <c r="Y45" s="96">
        <f t="shared" si="3"/>
        <v>1.4969622144968973E-2</v>
      </c>
      <c r="Z45" s="96">
        <f t="shared" si="3"/>
        <v>8.9975229491476034E-3</v>
      </c>
      <c r="AA45" s="86">
        <f t="shared" si="20"/>
        <v>3.3476855698049306E-2</v>
      </c>
      <c r="AB45" s="97">
        <f t="shared" si="27"/>
        <v>2.8455327343341909E-2</v>
      </c>
      <c r="AC45" s="86">
        <f t="shared" si="5"/>
        <v>-6.7914057941698752E-3</v>
      </c>
      <c r="AD45" s="86">
        <f t="shared" si="6"/>
        <v>-6.7914057941698752E-3</v>
      </c>
      <c r="AE45" s="87">
        <f t="shared" si="21"/>
        <v>1.2655134249997214E-3</v>
      </c>
      <c r="AF45" s="87">
        <f t="shared" si="28"/>
        <v>1.898270137499582E-4</v>
      </c>
      <c r="AG45" s="90">
        <f t="shared" si="8"/>
        <v>2.8645154357091869E-2</v>
      </c>
      <c r="AI45" s="88">
        <v>43800112</v>
      </c>
      <c r="AJ45" s="88">
        <v>12530227</v>
      </c>
      <c r="AK45" s="98">
        <f t="shared" si="29"/>
        <v>0.28607751048673119</v>
      </c>
      <c r="AL45" s="99">
        <f t="shared" si="22"/>
        <v>3584616.1459936225</v>
      </c>
      <c r="AM45" s="90">
        <f t="shared" si="23"/>
        <v>3.2751120996707141E-3</v>
      </c>
      <c r="AO45" s="100">
        <f t="shared" si="30"/>
        <v>34668301.921493135</v>
      </c>
      <c r="AP45" s="101">
        <f t="shared" si="31"/>
        <v>42376156.933475845</v>
      </c>
      <c r="AQ45" s="101">
        <f t="shared" si="32"/>
        <v>5285488.4950427515</v>
      </c>
      <c r="AR45" s="101">
        <f t="shared" si="33"/>
        <v>82329947.350011736</v>
      </c>
      <c r="AS45" s="102">
        <f t="shared" si="24"/>
        <v>1.5304534688752276E-2</v>
      </c>
    </row>
    <row r="46" spans="1:45" ht="14.25">
      <c r="A46" s="7" t="s">
        <v>39</v>
      </c>
      <c r="B46" s="85">
        <v>1135550</v>
      </c>
      <c r="C46" s="192">
        <f t="shared" si="25"/>
        <v>0.24402283205306677</v>
      </c>
      <c r="D46" s="87">
        <f t="shared" si="14"/>
        <v>0.20741940724510674</v>
      </c>
      <c r="E46" s="88">
        <v>323.60000000000002</v>
      </c>
      <c r="F46" s="189">
        <f t="shared" si="26"/>
        <v>5.0389176977814112E-3</v>
      </c>
      <c r="G46" s="89">
        <f t="shared" si="15"/>
        <v>7.558376546672117E-4</v>
      </c>
      <c r="H46" s="90">
        <f t="shared" si="16"/>
        <v>0.20817524489977396</v>
      </c>
      <c r="J46" s="91">
        <v>123398</v>
      </c>
      <c r="K46" s="92">
        <v>25536</v>
      </c>
      <c r="L46" s="92">
        <v>28126</v>
      </c>
      <c r="M46" s="92">
        <v>2378</v>
      </c>
      <c r="N46" s="93">
        <f t="shared" si="17"/>
        <v>7.2160716332445252E-2</v>
      </c>
      <c r="O46" s="93">
        <f t="shared" si="17"/>
        <v>7.2575969441697072E-2</v>
      </c>
      <c r="P46" s="93">
        <f t="shared" si="17"/>
        <v>2.104621997138564E-2</v>
      </c>
      <c r="Q46" s="93">
        <f t="shared" si="17"/>
        <v>1.5187900774084766E-2</v>
      </c>
      <c r="R46" s="94">
        <f t="shared" si="18"/>
        <v>0.18097080651961275</v>
      </c>
      <c r="S46" s="95">
        <v>88873.999998769097</v>
      </c>
      <c r="T46" s="95">
        <v>19246</v>
      </c>
      <c r="U46" s="95">
        <v>4982</v>
      </c>
      <c r="V46" s="95">
        <v>694</v>
      </c>
      <c r="W46" s="96">
        <f t="shared" si="19"/>
        <v>6.9896312421858064E-2</v>
      </c>
      <c r="X46" s="96">
        <f t="shared" si="3"/>
        <v>6.5693181507877993E-2</v>
      </c>
      <c r="Y46" s="96">
        <f t="shared" si="3"/>
        <v>1.011647551902271E-2</v>
      </c>
      <c r="Z46" s="96">
        <f t="shared" si="3"/>
        <v>1.2640244790907766E-2</v>
      </c>
      <c r="AA46" s="86">
        <f t="shared" si="20"/>
        <v>0.15834621423966655</v>
      </c>
      <c r="AB46" s="97">
        <f t="shared" si="27"/>
        <v>0.13459428210371657</v>
      </c>
      <c r="AC46" s="86">
        <f t="shared" si="5"/>
        <v>-0.12501791153532965</v>
      </c>
      <c r="AD46" s="86">
        <f t="shared" si="6"/>
        <v>-0.12501791153532965</v>
      </c>
      <c r="AE46" s="87">
        <f t="shared" si="21"/>
        <v>2.329589045455142E-2</v>
      </c>
      <c r="AF46" s="87">
        <f t="shared" si="28"/>
        <v>3.4943835681827129E-3</v>
      </c>
      <c r="AG46" s="90">
        <f t="shared" si="8"/>
        <v>0.13808866567189929</v>
      </c>
      <c r="AI46" s="88">
        <v>1310039238</v>
      </c>
      <c r="AJ46" s="88">
        <v>707376650.81000006</v>
      </c>
      <c r="AK46" s="98">
        <f t="shared" si="29"/>
        <v>0.53996600276639961</v>
      </c>
      <c r="AL46" s="99">
        <f t="shared" si="22"/>
        <v>381959342.58815897</v>
      </c>
      <c r="AM46" s="90">
        <f t="shared" si="23"/>
        <v>0.34898008979033834</v>
      </c>
      <c r="AO46" s="100">
        <f t="shared" si="30"/>
        <v>475943852.77373463</v>
      </c>
      <c r="AP46" s="101">
        <f t="shared" si="31"/>
        <v>204281216.09328827</v>
      </c>
      <c r="AQ46" s="101">
        <f t="shared" si="32"/>
        <v>563196065.79917443</v>
      </c>
      <c r="AR46" s="101">
        <f t="shared" si="33"/>
        <v>1243421134.6661973</v>
      </c>
      <c r="AS46" s="102">
        <f t="shared" si="24"/>
        <v>0.23114288907927766</v>
      </c>
    </row>
    <row r="47" spans="1:45" ht="14.25">
      <c r="A47" s="7" t="s">
        <v>40</v>
      </c>
      <c r="B47" s="85">
        <v>1034</v>
      </c>
      <c r="C47" s="192">
        <f t="shared" si="25"/>
        <v>2.2220035079289422E-4</v>
      </c>
      <c r="D47" s="87">
        <f t="shared" si="14"/>
        <v>1.8887029817396008E-4</v>
      </c>
      <c r="E47" s="88">
        <v>1172.6600000000001</v>
      </c>
      <c r="F47" s="189">
        <f t="shared" si="26"/>
        <v>1.8260003793202563E-2</v>
      </c>
      <c r="G47" s="89">
        <f t="shared" si="15"/>
        <v>2.7390005689803842E-3</v>
      </c>
      <c r="H47" s="90">
        <f t="shared" si="16"/>
        <v>2.9278708671543444E-3</v>
      </c>
      <c r="J47" s="91">
        <v>244</v>
      </c>
      <c r="K47" s="92">
        <v>60</v>
      </c>
      <c r="L47" s="92">
        <v>375</v>
      </c>
      <c r="M47" s="92">
        <v>47</v>
      </c>
      <c r="N47" s="93">
        <f t="shared" si="17"/>
        <v>1.4268638701694225E-4</v>
      </c>
      <c r="O47" s="93">
        <f t="shared" si="17"/>
        <v>1.7052624398894989E-4</v>
      </c>
      <c r="P47" s="93">
        <f t="shared" si="17"/>
        <v>2.8060628917263796E-4</v>
      </c>
      <c r="Q47" s="93">
        <f t="shared" si="17"/>
        <v>3.0018138619932047E-4</v>
      </c>
      <c r="R47" s="94">
        <f t="shared" si="18"/>
        <v>8.9400030637785065E-4</v>
      </c>
      <c r="S47" s="95">
        <v>95.999999999399989</v>
      </c>
      <c r="T47" s="95">
        <v>43</v>
      </c>
      <c r="U47" s="95">
        <v>84</v>
      </c>
      <c r="V47" s="95">
        <v>27</v>
      </c>
      <c r="W47" s="96">
        <f t="shared" si="19"/>
        <v>7.5500663777363118E-5</v>
      </c>
      <c r="X47" s="96">
        <f t="shared" si="3"/>
        <v>1.4677370907402855E-4</v>
      </c>
      <c r="Y47" s="96">
        <f t="shared" si="3"/>
        <v>1.7057084375710711E-4</v>
      </c>
      <c r="Z47" s="96">
        <f t="shared" si="3"/>
        <v>4.91767448637622E-4</v>
      </c>
      <c r="AA47" s="86">
        <f t="shared" si="20"/>
        <v>8.8461266524612078E-4</v>
      </c>
      <c r="AB47" s="97">
        <f t="shared" si="27"/>
        <v>7.5192076545920264E-4</v>
      </c>
      <c r="AC47" s="86">
        <f t="shared" si="5"/>
        <v>-1.0500713550943872E-2</v>
      </c>
      <c r="AD47" s="86">
        <f t="shared" si="6"/>
        <v>-1.0500713550943872E-2</v>
      </c>
      <c r="AE47" s="87">
        <f t="shared" si="21"/>
        <v>1.9567073995495625E-3</v>
      </c>
      <c r="AF47" s="87">
        <f t="shared" si="28"/>
        <v>2.9350610993243438E-4</v>
      </c>
      <c r="AG47" s="90">
        <f t="shared" si="8"/>
        <v>1.0454268753916371E-3</v>
      </c>
      <c r="AI47" s="88">
        <v>1666646</v>
      </c>
      <c r="AJ47" s="88">
        <v>383737</v>
      </c>
      <c r="AK47" s="98">
        <f t="shared" si="29"/>
        <v>0.23024505503868248</v>
      </c>
      <c r="AL47" s="99">
        <f t="shared" si="22"/>
        <v>88353.546685378897</v>
      </c>
      <c r="AM47" s="90">
        <f t="shared" si="23"/>
        <v>8.0724897175258275E-5</v>
      </c>
      <c r="AO47" s="100">
        <f t="shared" si="30"/>
        <v>6693889.7639261382</v>
      </c>
      <c r="AP47" s="101">
        <f t="shared" si="31"/>
        <v>1546550.3443203256</v>
      </c>
      <c r="AQ47" s="101">
        <f t="shared" si="32"/>
        <v>130276.61414283651</v>
      </c>
      <c r="AR47" s="101">
        <f t="shared" si="33"/>
        <v>8370716.7223893004</v>
      </c>
      <c r="AS47" s="102">
        <f t="shared" si="24"/>
        <v>1.5560549784258734E-3</v>
      </c>
    </row>
    <row r="48" spans="1:45" ht="14.25">
      <c r="A48" s="7" t="s">
        <v>41</v>
      </c>
      <c r="B48" s="85">
        <v>20843</v>
      </c>
      <c r="C48" s="192">
        <f t="shared" si="25"/>
        <v>4.4790347307314257E-3</v>
      </c>
      <c r="D48" s="87">
        <f t="shared" si="14"/>
        <v>3.8071795211217117E-3</v>
      </c>
      <c r="E48" s="88">
        <v>308.89</v>
      </c>
      <c r="F48" s="189">
        <f t="shared" si="26"/>
        <v>4.8098618283921504E-3</v>
      </c>
      <c r="G48" s="89">
        <f t="shared" si="15"/>
        <v>7.2147927425882249E-4</v>
      </c>
      <c r="H48" s="90">
        <f t="shared" si="16"/>
        <v>4.5286587953805345E-3</v>
      </c>
      <c r="J48" s="91">
        <v>1423</v>
      </c>
      <c r="K48" s="92">
        <v>462</v>
      </c>
      <c r="L48" s="92">
        <v>3867</v>
      </c>
      <c r="M48" s="92">
        <v>358</v>
      </c>
      <c r="N48" s="93">
        <f t="shared" si="17"/>
        <v>8.3214233084060992E-4</v>
      </c>
      <c r="O48" s="93">
        <f t="shared" si="17"/>
        <v>1.3130520787149142E-3</v>
      </c>
      <c r="P48" s="93">
        <f t="shared" si="17"/>
        <v>2.8936120539482428E-3</v>
      </c>
      <c r="Q48" s="93">
        <f t="shared" si="17"/>
        <v>2.286488005518228E-3</v>
      </c>
      <c r="R48" s="94">
        <f t="shared" si="18"/>
        <v>7.3252944690219944E-3</v>
      </c>
      <c r="S48" s="95">
        <v>502.9999955589883</v>
      </c>
      <c r="T48" s="95">
        <v>435</v>
      </c>
      <c r="U48" s="95">
        <v>1115</v>
      </c>
      <c r="V48" s="95">
        <v>155</v>
      </c>
      <c r="W48" s="96">
        <f t="shared" si="19"/>
        <v>3.9559201609324664E-4</v>
      </c>
      <c r="X48" s="96">
        <f t="shared" si="3"/>
        <v>1.4848038010977307E-3</v>
      </c>
      <c r="Y48" s="96">
        <f t="shared" si="3"/>
        <v>2.2641248903473147E-3</v>
      </c>
      <c r="Z48" s="96">
        <f t="shared" si="3"/>
        <v>2.8231094273641266E-3</v>
      </c>
      <c r="AA48" s="86">
        <f t="shared" si="20"/>
        <v>6.9676301349024189E-3</v>
      </c>
      <c r="AB48" s="97">
        <f t="shared" si="27"/>
        <v>5.9224856146670559E-3</v>
      </c>
      <c r="AC48" s="86">
        <f t="shared" si="5"/>
        <v>-4.8825932613645158E-2</v>
      </c>
      <c r="AD48" s="86">
        <f t="shared" si="6"/>
        <v>-4.8825932613645158E-2</v>
      </c>
      <c r="AE48" s="87">
        <f t="shared" si="21"/>
        <v>9.0982449117888945E-3</v>
      </c>
      <c r="AF48" s="87">
        <f t="shared" si="28"/>
        <v>1.3647367367683341E-3</v>
      </c>
      <c r="AG48" s="90">
        <f t="shared" si="8"/>
        <v>7.2872223514353898E-3</v>
      </c>
      <c r="AI48" s="88">
        <v>43067472</v>
      </c>
      <c r="AJ48" s="88">
        <v>7787829</v>
      </c>
      <c r="AK48" s="98">
        <f t="shared" si="29"/>
        <v>0.18082856128634622</v>
      </c>
      <c r="AL48" s="99">
        <f t="shared" si="22"/>
        <v>1408261.9136140845</v>
      </c>
      <c r="AM48" s="90">
        <f t="shared" si="23"/>
        <v>1.28666932383759E-3</v>
      </c>
      <c r="AO48" s="100">
        <f t="shared" si="30"/>
        <v>10353715.76485371</v>
      </c>
      <c r="AP48" s="101">
        <f t="shared" si="31"/>
        <v>10780339.115090374</v>
      </c>
      <c r="AQ48" s="101">
        <f t="shared" si="32"/>
        <v>2076471.186666182</v>
      </c>
      <c r="AR48" s="101">
        <f t="shared" si="33"/>
        <v>23210526.066610269</v>
      </c>
      <c r="AS48" s="102">
        <f t="shared" si="24"/>
        <v>4.314666931832736E-3</v>
      </c>
    </row>
    <row r="49" spans="1:45" ht="14.25">
      <c r="A49" s="7" t="s">
        <v>42</v>
      </c>
      <c r="B49" s="85">
        <v>5359</v>
      </c>
      <c r="C49" s="192">
        <f t="shared" si="25"/>
        <v>1.1516167117012767E-3</v>
      </c>
      <c r="D49" s="87">
        <f t="shared" si="14"/>
        <v>9.788742049460853E-4</v>
      </c>
      <c r="E49" s="88">
        <v>1341.58</v>
      </c>
      <c r="F49" s="189">
        <f t="shared" si="26"/>
        <v>2.089033128859575E-2</v>
      </c>
      <c r="G49" s="89">
        <f t="shared" si="15"/>
        <v>3.1335496932893623E-3</v>
      </c>
      <c r="H49" s="90">
        <f t="shared" si="16"/>
        <v>4.1124238982354474E-3</v>
      </c>
      <c r="J49" s="91">
        <v>1104</v>
      </c>
      <c r="K49" s="92">
        <v>274</v>
      </c>
      <c r="L49" s="92">
        <v>2326</v>
      </c>
      <c r="M49" s="92">
        <v>140</v>
      </c>
      <c r="N49" s="93">
        <f t="shared" si="17"/>
        <v>6.4559742322419769E-4</v>
      </c>
      <c r="O49" s="93">
        <f t="shared" si="17"/>
        <v>7.7873651421620459E-4</v>
      </c>
      <c r="P49" s="93">
        <f t="shared" si="17"/>
        <v>1.7405072763081492E-3</v>
      </c>
      <c r="Q49" s="93">
        <f t="shared" si="17"/>
        <v>8.9415732059372043E-4</v>
      </c>
      <c r="R49" s="94">
        <f t="shared" si="18"/>
        <v>4.0589985343422721E-3</v>
      </c>
      <c r="S49" s="95">
        <v>511.00000000414997</v>
      </c>
      <c r="T49" s="95">
        <v>264</v>
      </c>
      <c r="U49" s="95">
        <v>999</v>
      </c>
      <c r="V49" s="95">
        <v>49</v>
      </c>
      <c r="W49" s="96">
        <f t="shared" si="19"/>
        <v>4.0188374157069809E-4</v>
      </c>
      <c r="X49" s="96">
        <f t="shared" si="3"/>
        <v>9.0112230687310556E-4</v>
      </c>
      <c r="Y49" s="96">
        <f t="shared" si="3"/>
        <v>2.028574677539881E-3</v>
      </c>
      <c r="Z49" s="96">
        <f t="shared" si="3"/>
        <v>8.9246685123123997E-4</v>
      </c>
      <c r="AA49" s="86">
        <f t="shared" si="20"/>
        <v>4.2240475772149242E-3</v>
      </c>
      <c r="AB49" s="97">
        <f t="shared" si="27"/>
        <v>3.5904404406326856E-3</v>
      </c>
      <c r="AC49" s="86">
        <f t="shared" si="5"/>
        <v>4.066250368809185E-2</v>
      </c>
      <c r="AD49" s="86">
        <f t="shared" si="6"/>
        <v>0</v>
      </c>
      <c r="AE49" s="87">
        <f t="shared" si="21"/>
        <v>0</v>
      </c>
      <c r="AF49" s="87">
        <f t="shared" si="28"/>
        <v>0</v>
      </c>
      <c r="AG49" s="90">
        <f t="shared" si="8"/>
        <v>3.5904404406326856E-3</v>
      </c>
      <c r="AI49" s="88">
        <v>2466234</v>
      </c>
      <c r="AJ49" s="88">
        <v>609530</v>
      </c>
      <c r="AK49" s="98">
        <f t="shared" si="29"/>
        <v>0.24715010822168537</v>
      </c>
      <c r="AL49" s="99">
        <f t="shared" si="22"/>
        <v>150645.4054643639</v>
      </c>
      <c r="AM49" s="90">
        <f t="shared" si="23"/>
        <v>1.3763833283727465E-4</v>
      </c>
      <c r="AO49" s="100">
        <f t="shared" si="30"/>
        <v>9402092.3347888645</v>
      </c>
      <c r="AP49" s="101">
        <f t="shared" si="31"/>
        <v>5311511.5274245432</v>
      </c>
      <c r="AQ49" s="101">
        <f t="shared" si="32"/>
        <v>222125.47312851457</v>
      </c>
      <c r="AR49" s="101">
        <f t="shared" si="33"/>
        <v>14935729.335341921</v>
      </c>
      <c r="AS49" s="102">
        <f t="shared" si="24"/>
        <v>2.7764427777752349E-3</v>
      </c>
    </row>
    <row r="50" spans="1:45" ht="14.25">
      <c r="A50" s="7" t="s">
        <v>43</v>
      </c>
      <c r="B50" s="85">
        <v>2628</v>
      </c>
      <c r="C50" s="192">
        <f t="shared" si="25"/>
        <v>5.6474131710224952E-4</v>
      </c>
      <c r="D50" s="87">
        <f t="shared" si="14"/>
        <v>4.800301195369121E-4</v>
      </c>
      <c r="E50" s="88">
        <v>673.76</v>
      </c>
      <c r="F50" s="189">
        <f t="shared" si="26"/>
        <v>1.0491412818470961E-2</v>
      </c>
      <c r="G50" s="89">
        <f t="shared" si="15"/>
        <v>1.5737119227706442E-3</v>
      </c>
      <c r="H50" s="90">
        <f t="shared" si="16"/>
        <v>2.0537420423075562E-3</v>
      </c>
      <c r="J50" s="91">
        <v>671</v>
      </c>
      <c r="K50" s="92">
        <v>247</v>
      </c>
      <c r="L50" s="92">
        <v>1766</v>
      </c>
      <c r="M50" s="92">
        <v>574</v>
      </c>
      <c r="N50" s="93">
        <f t="shared" si="17"/>
        <v>3.9238756429659118E-4</v>
      </c>
      <c r="O50" s="93">
        <f t="shared" si="17"/>
        <v>7.0199970442117712E-4</v>
      </c>
      <c r="P50" s="93">
        <f t="shared" si="17"/>
        <v>1.3214685511436764E-3</v>
      </c>
      <c r="Q50" s="93">
        <f t="shared" si="17"/>
        <v>3.6660450144342539E-3</v>
      </c>
      <c r="R50" s="94">
        <f t="shared" si="18"/>
        <v>6.0819008342956988E-3</v>
      </c>
      <c r="S50" s="95">
        <v>600.99999999995009</v>
      </c>
      <c r="T50" s="95">
        <v>212</v>
      </c>
      <c r="U50" s="95">
        <v>872</v>
      </c>
      <c r="V50" s="95">
        <v>90</v>
      </c>
      <c r="W50" s="96">
        <f t="shared" si="19"/>
        <v>4.7266561385911533E-4</v>
      </c>
      <c r="X50" s="96">
        <f t="shared" si="3"/>
        <v>7.2362851915567573E-4</v>
      </c>
      <c r="Y50" s="96">
        <f t="shared" si="3"/>
        <v>1.7706878066213977E-3</v>
      </c>
      <c r="Z50" s="96">
        <f t="shared" si="3"/>
        <v>1.6392248287920735E-3</v>
      </c>
      <c r="AA50" s="86">
        <f t="shared" si="20"/>
        <v>4.6062067684282618E-3</v>
      </c>
      <c r="AB50" s="97">
        <f t="shared" si="27"/>
        <v>3.9152757531640226E-3</v>
      </c>
      <c r="AC50" s="86">
        <f t="shared" si="5"/>
        <v>-0.24263698242924844</v>
      </c>
      <c r="AD50" s="86">
        <f t="shared" si="6"/>
        <v>-0.24263698242924844</v>
      </c>
      <c r="AE50" s="87">
        <f t="shared" si="21"/>
        <v>4.5213077818031917E-2</v>
      </c>
      <c r="AF50" s="87">
        <f t="shared" si="28"/>
        <v>6.7819616727047873E-3</v>
      </c>
      <c r="AG50" s="90">
        <f t="shared" si="8"/>
        <v>1.0697237425868811E-2</v>
      </c>
      <c r="AI50" s="88">
        <v>935481</v>
      </c>
      <c r="AJ50" s="88">
        <v>216100</v>
      </c>
      <c r="AK50" s="98">
        <f t="shared" si="29"/>
        <v>0.23100415721965492</v>
      </c>
      <c r="AL50" s="99">
        <f t="shared" si="22"/>
        <v>49919.99837516743</v>
      </c>
      <c r="AM50" s="90">
        <f t="shared" si="23"/>
        <v>4.5609790291432816E-5</v>
      </c>
      <c r="AO50" s="100">
        <f t="shared" si="30"/>
        <v>4695399.3049935298</v>
      </c>
      <c r="AP50" s="101">
        <f t="shared" si="31"/>
        <v>15824938.705594353</v>
      </c>
      <c r="AQ50" s="101">
        <f t="shared" si="32"/>
        <v>73606.647500987339</v>
      </c>
      <c r="AR50" s="101">
        <f t="shared" si="33"/>
        <v>20593944.65808887</v>
      </c>
      <c r="AS50" s="102">
        <f t="shared" si="24"/>
        <v>3.8282635971820626E-3</v>
      </c>
    </row>
    <row r="51" spans="1:45" ht="14.25">
      <c r="A51" s="7" t="s">
        <v>44</v>
      </c>
      <c r="B51" s="85">
        <v>34671</v>
      </c>
      <c r="C51" s="192">
        <f t="shared" si="25"/>
        <v>7.4505883581628971E-3</v>
      </c>
      <c r="D51" s="87">
        <f t="shared" si="14"/>
        <v>6.3330001044384623E-3</v>
      </c>
      <c r="E51" s="88">
        <v>1542.15</v>
      </c>
      <c r="F51" s="189">
        <f t="shared" si="26"/>
        <v>2.4013494831995066E-2</v>
      </c>
      <c r="G51" s="89">
        <f t="shared" si="15"/>
        <v>3.6020242247992596E-3</v>
      </c>
      <c r="H51" s="90">
        <f t="shared" si="16"/>
        <v>9.9350243292377211E-3</v>
      </c>
      <c r="J51" s="91">
        <v>4789</v>
      </c>
      <c r="K51" s="92">
        <v>909</v>
      </c>
      <c r="L51" s="92">
        <v>4749</v>
      </c>
      <c r="M51" s="92">
        <v>258</v>
      </c>
      <c r="N51" s="93">
        <f t="shared" si="17"/>
        <v>2.8005127353448217E-3</v>
      </c>
      <c r="O51" s="93">
        <f t="shared" si="17"/>
        <v>2.5834725964325911E-3</v>
      </c>
      <c r="P51" s="93">
        <f t="shared" si="17"/>
        <v>3.5535980460822871E-3</v>
      </c>
      <c r="Q51" s="93">
        <f t="shared" si="17"/>
        <v>1.6478042050941421E-3</v>
      </c>
      <c r="R51" s="94">
        <f t="shared" si="18"/>
        <v>1.0585387582953843E-2</v>
      </c>
      <c r="S51" s="95">
        <v>3480.0000000606401</v>
      </c>
      <c r="T51" s="95">
        <v>841</v>
      </c>
      <c r="U51" s="95">
        <v>1534</v>
      </c>
      <c r="V51" s="95">
        <v>182</v>
      </c>
      <c r="W51" s="96">
        <f t="shared" si="19"/>
        <v>2.7368990619942106E-3</v>
      </c>
      <c r="X51" s="96">
        <f t="shared" si="3"/>
        <v>2.8706206821222796E-3</v>
      </c>
      <c r="Y51" s="96">
        <f t="shared" si="3"/>
        <v>3.1149485038500274E-3</v>
      </c>
      <c r="Z51" s="96">
        <f t="shared" si="3"/>
        <v>3.3148768760017486E-3</v>
      </c>
      <c r="AA51" s="86">
        <f t="shared" si="20"/>
        <v>1.2037345123968266E-2</v>
      </c>
      <c r="AB51" s="97">
        <f t="shared" si="27"/>
        <v>1.0231743355373026E-2</v>
      </c>
      <c r="AC51" s="86">
        <f t="shared" si="5"/>
        <v>0.1371662142397676</v>
      </c>
      <c r="AD51" s="86">
        <f t="shared" si="6"/>
        <v>0</v>
      </c>
      <c r="AE51" s="87">
        <f t="shared" si="21"/>
        <v>0</v>
      </c>
      <c r="AF51" s="87">
        <f t="shared" si="28"/>
        <v>0</v>
      </c>
      <c r="AG51" s="90">
        <f t="shared" si="8"/>
        <v>1.0231743355373026E-2</v>
      </c>
      <c r="AI51" s="88">
        <v>16353525</v>
      </c>
      <c r="AJ51" s="88">
        <v>6276480</v>
      </c>
      <c r="AK51" s="98">
        <f t="shared" si="29"/>
        <v>0.38379982297394599</v>
      </c>
      <c r="AL51" s="99">
        <f t="shared" si="22"/>
        <v>2408911.9128995123</v>
      </c>
      <c r="AM51" s="90">
        <f t="shared" si="23"/>
        <v>2.2009208885017824E-3</v>
      </c>
      <c r="AO51" s="100">
        <f t="shared" si="30"/>
        <v>22714102.048659693</v>
      </c>
      <c r="AP51" s="101">
        <f t="shared" si="31"/>
        <v>15136310.900101375</v>
      </c>
      <c r="AQ51" s="101">
        <f t="shared" si="32"/>
        <v>3551921.7909655795</v>
      </c>
      <c r="AR51" s="101">
        <f t="shared" si="33"/>
        <v>41402334.739726648</v>
      </c>
      <c r="AS51" s="102">
        <f t="shared" si="24"/>
        <v>7.6963910292041455E-3</v>
      </c>
    </row>
    <row r="52" spans="1:45" ht="14.25">
      <c r="A52" s="7" t="s">
        <v>45</v>
      </c>
      <c r="B52" s="85">
        <v>32660</v>
      </c>
      <c r="C52" s="192">
        <f t="shared" si="25"/>
        <v>7.018436612085034E-3</v>
      </c>
      <c r="D52" s="87">
        <f t="shared" si="14"/>
        <v>5.9656711202722788E-3</v>
      </c>
      <c r="E52" s="88">
        <v>1658.08</v>
      </c>
      <c r="F52" s="189">
        <f t="shared" si="26"/>
        <v>2.5818691768656987E-2</v>
      </c>
      <c r="G52" s="89">
        <f t="shared" si="15"/>
        <v>3.8728037652985478E-3</v>
      </c>
      <c r="H52" s="90">
        <f t="shared" si="16"/>
        <v>9.8384748855708266E-3</v>
      </c>
      <c r="J52" s="91">
        <v>2382</v>
      </c>
      <c r="K52" s="92">
        <v>572</v>
      </c>
      <c r="L52" s="92">
        <v>6969</v>
      </c>
      <c r="M52" s="92">
        <v>1381</v>
      </c>
      <c r="N52" s="93">
        <f t="shared" si="17"/>
        <v>1.3929466142391658E-3</v>
      </c>
      <c r="O52" s="93">
        <f t="shared" si="17"/>
        <v>1.6256835260279891E-3</v>
      </c>
      <c r="P52" s="93">
        <f t="shared" si="17"/>
        <v>5.2147872779843042E-3</v>
      </c>
      <c r="Q52" s="93">
        <f t="shared" si="17"/>
        <v>8.8202232838566277E-3</v>
      </c>
      <c r="R52" s="94">
        <f t="shared" si="18"/>
        <v>1.7053640702108089E-2</v>
      </c>
      <c r="S52" s="95">
        <v>1795.99999997852</v>
      </c>
      <c r="T52" s="95">
        <v>775</v>
      </c>
      <c r="U52" s="95">
        <v>2276</v>
      </c>
      <c r="V52" s="95">
        <v>675</v>
      </c>
      <c r="W52" s="96">
        <f t="shared" si="19"/>
        <v>1.41249158482677E-3</v>
      </c>
      <c r="X52" s="96">
        <f t="shared" si="3"/>
        <v>2.6453401054040032E-3</v>
      </c>
      <c r="Y52" s="96">
        <f t="shared" si="3"/>
        <v>4.6216576237044739E-3</v>
      </c>
      <c r="Z52" s="96">
        <f t="shared" si="3"/>
        <v>1.2294186215940551E-2</v>
      </c>
      <c r="AA52" s="86">
        <f t="shared" si="20"/>
        <v>2.09736755298758E-2</v>
      </c>
      <c r="AB52" s="97">
        <f t="shared" si="27"/>
        <v>1.782762420039443E-2</v>
      </c>
      <c r="AC52" s="86">
        <f t="shared" si="5"/>
        <v>0.22986498286451734</v>
      </c>
      <c r="AD52" s="86">
        <f t="shared" si="6"/>
        <v>0</v>
      </c>
      <c r="AE52" s="87">
        <f t="shared" si="21"/>
        <v>0</v>
      </c>
      <c r="AF52" s="87">
        <f t="shared" si="28"/>
        <v>0</v>
      </c>
      <c r="AG52" s="90">
        <f t="shared" si="8"/>
        <v>1.782762420039443E-2</v>
      </c>
      <c r="AI52" s="88">
        <v>92574446</v>
      </c>
      <c r="AJ52" s="88">
        <v>12587866</v>
      </c>
      <c r="AK52" s="98">
        <f t="shared" si="29"/>
        <v>0.13597560173354967</v>
      </c>
      <c r="AL52" s="99">
        <f t="shared" si="22"/>
        <v>1711642.653891291</v>
      </c>
      <c r="AM52" s="90">
        <f t="shared" si="23"/>
        <v>1.5638554695283776E-3</v>
      </c>
      <c r="AO52" s="100">
        <f t="shared" si="30"/>
        <v>22493364.399357993</v>
      </c>
      <c r="AP52" s="101">
        <f t="shared" si="31"/>
        <v>26373263.395591039</v>
      </c>
      <c r="AQ52" s="101">
        <f t="shared" si="32"/>
        <v>2523803.7174156494</v>
      </c>
      <c r="AR52" s="101">
        <f t="shared" si="33"/>
        <v>51390431.512364686</v>
      </c>
      <c r="AS52" s="102">
        <f t="shared" si="24"/>
        <v>9.5531051223345809E-3</v>
      </c>
    </row>
    <row r="53" spans="1:45" ht="14.25">
      <c r="A53" s="7" t="s">
        <v>46</v>
      </c>
      <c r="B53" s="85">
        <v>443273</v>
      </c>
      <c r="C53" s="192">
        <f t="shared" si="25"/>
        <v>9.5256688681836177E-2</v>
      </c>
      <c r="D53" s="87">
        <f t="shared" si="14"/>
        <v>8.0968185379560742E-2</v>
      </c>
      <c r="E53" s="88">
        <v>60.1</v>
      </c>
      <c r="F53" s="189">
        <f t="shared" si="26"/>
        <v>9.3584349084259205E-4</v>
      </c>
      <c r="G53" s="89">
        <f t="shared" si="15"/>
        <v>1.403765236263888E-4</v>
      </c>
      <c r="H53" s="90">
        <f t="shared" si="16"/>
        <v>8.1108561903187132E-2</v>
      </c>
      <c r="J53" s="91">
        <v>40580</v>
      </c>
      <c r="K53" s="92">
        <v>5745</v>
      </c>
      <c r="L53" s="92">
        <v>2165</v>
      </c>
      <c r="M53" s="92">
        <v>472</v>
      </c>
      <c r="N53" s="93">
        <f t="shared" si="17"/>
        <v>2.3730383545686545E-2</v>
      </c>
      <c r="O53" s="93">
        <f t="shared" si="17"/>
        <v>1.6327887861941955E-2</v>
      </c>
      <c r="P53" s="93">
        <f t="shared" si="17"/>
        <v>1.6200336428233632E-3</v>
      </c>
      <c r="Q53" s="93">
        <f t="shared" si="17"/>
        <v>3.0145875380016862E-3</v>
      </c>
      <c r="R53" s="94">
        <f t="shared" si="18"/>
        <v>4.4692892588453548E-2</v>
      </c>
      <c r="S53" s="95">
        <v>18155.999999995089</v>
      </c>
      <c r="T53" s="95">
        <v>4217</v>
      </c>
      <c r="U53" s="95">
        <v>161</v>
      </c>
      <c r="V53" s="95">
        <v>91</v>
      </c>
      <c r="W53" s="96">
        <f t="shared" si="19"/>
        <v>1.4279063036979183E-2</v>
      </c>
      <c r="X53" s="96">
        <f t="shared" si="3"/>
        <v>1.4394063515469267E-2</v>
      </c>
      <c r="Y53" s="96">
        <f t="shared" si="3"/>
        <v>3.2692745053445531E-4</v>
      </c>
      <c r="Z53" s="96">
        <f t="shared" si="3"/>
        <v>1.6574384380008743E-3</v>
      </c>
      <c r="AA53" s="86">
        <f t="shared" si="20"/>
        <v>3.0657492440983779E-2</v>
      </c>
      <c r="AB53" s="97">
        <f t="shared" si="27"/>
        <v>2.6058868574836212E-2</v>
      </c>
      <c r="AC53" s="86">
        <f t="shared" si="5"/>
        <v>-0.3140409880540117</v>
      </c>
      <c r="AD53" s="86">
        <f t="shared" si="6"/>
        <v>-0.3140409880540117</v>
      </c>
      <c r="AE53" s="87">
        <f t="shared" si="21"/>
        <v>5.8518530393766088E-2</v>
      </c>
      <c r="AF53" s="87">
        <f t="shared" si="28"/>
        <v>8.7777795590649136E-3</v>
      </c>
      <c r="AG53" s="90">
        <f t="shared" si="8"/>
        <v>3.4836648133901124E-2</v>
      </c>
      <c r="AI53" s="88">
        <v>498373044</v>
      </c>
      <c r="AJ53" s="88">
        <v>263089754.40000004</v>
      </c>
      <c r="AK53" s="98">
        <f t="shared" si="29"/>
        <v>0.52789723996388549</v>
      </c>
      <c r="AL53" s="99">
        <f t="shared" si="22"/>
        <v>138884355.21053651</v>
      </c>
      <c r="AM53" s="90">
        <f t="shared" si="23"/>
        <v>0.1268927588560281</v>
      </c>
      <c r="AO53" s="100">
        <f t="shared" si="30"/>
        <v>185435696.08252567</v>
      </c>
      <c r="AP53" s="101">
        <f t="shared" si="31"/>
        <v>51535531.977086</v>
      </c>
      <c r="AQ53" s="101">
        <f t="shared" si="32"/>
        <v>204783896.43676722</v>
      </c>
      <c r="AR53" s="101">
        <f t="shared" si="33"/>
        <v>441755124.4963789</v>
      </c>
      <c r="AS53" s="102">
        <f t="shared" si="24"/>
        <v>8.2119044702485738E-2</v>
      </c>
    </row>
    <row r="54" spans="1:45" ht="14.25">
      <c r="A54" s="7" t="s">
        <v>47</v>
      </c>
      <c r="B54" s="85">
        <v>122659</v>
      </c>
      <c r="C54" s="192">
        <f t="shared" si="25"/>
        <v>2.6358677783274286E-2</v>
      </c>
      <c r="D54" s="87">
        <f t="shared" si="14"/>
        <v>2.2404876115783144E-2</v>
      </c>
      <c r="E54" s="88">
        <v>72.010000000000005</v>
      </c>
      <c r="F54" s="189">
        <f t="shared" si="26"/>
        <v>1.1212993307084037E-3</v>
      </c>
      <c r="G54" s="89">
        <f t="shared" si="15"/>
        <v>1.6819489960626053E-4</v>
      </c>
      <c r="H54" s="90">
        <f t="shared" si="16"/>
        <v>2.2573071015389405E-2</v>
      </c>
      <c r="J54" s="91">
        <v>9903</v>
      </c>
      <c r="K54" s="92">
        <v>1776</v>
      </c>
      <c r="L54" s="92">
        <v>642</v>
      </c>
      <c r="M54" s="92">
        <v>85</v>
      </c>
      <c r="N54" s="93">
        <f t="shared" si="17"/>
        <v>5.7910790599540133E-3</v>
      </c>
      <c r="O54" s="93">
        <f t="shared" si="17"/>
        <v>5.0475768220729174E-3</v>
      </c>
      <c r="P54" s="93">
        <f t="shared" si="17"/>
        <v>4.8039796706355622E-4</v>
      </c>
      <c r="Q54" s="93">
        <f t="shared" si="17"/>
        <v>5.4288123036047315E-4</v>
      </c>
      <c r="R54" s="94">
        <f t="shared" si="18"/>
        <v>1.186193507945096E-2</v>
      </c>
      <c r="S54" s="95">
        <v>4908.0000000006539</v>
      </c>
      <c r="T54" s="95">
        <v>1283</v>
      </c>
      <c r="U54" s="95">
        <v>140</v>
      </c>
      <c r="V54" s="95">
        <v>21</v>
      </c>
      <c r="W54" s="96">
        <f t="shared" si="19"/>
        <v>3.8599714356423293E-3</v>
      </c>
      <c r="X54" s="96">
        <f t="shared" si="3"/>
        <v>4.3793178777204334E-3</v>
      </c>
      <c r="Y54" s="96">
        <f t="shared" si="3"/>
        <v>2.8428473959517855E-4</v>
      </c>
      <c r="Z54" s="96">
        <f t="shared" si="3"/>
        <v>3.8248579338481716E-4</v>
      </c>
      <c r="AA54" s="86">
        <f t="shared" si="20"/>
        <v>8.9060598463427572E-3</v>
      </c>
      <c r="AB54" s="97">
        <f t="shared" si="27"/>
        <v>7.5701508693913431E-3</v>
      </c>
      <c r="AC54" s="86">
        <f t="shared" si="5"/>
        <v>-0.24918996886341233</v>
      </c>
      <c r="AD54" s="86">
        <f t="shared" si="6"/>
        <v>-0.24918996886341233</v>
      </c>
      <c r="AE54" s="87">
        <f t="shared" si="21"/>
        <v>4.6434164078757868E-2</v>
      </c>
      <c r="AF54" s="87">
        <f t="shared" si="28"/>
        <v>6.9651246118136801E-3</v>
      </c>
      <c r="AG54" s="90">
        <f t="shared" si="8"/>
        <v>1.4535275481205024E-2</v>
      </c>
      <c r="AI54" s="88">
        <v>643811314</v>
      </c>
      <c r="AJ54" s="88">
        <v>429376902.05000001</v>
      </c>
      <c r="AK54" s="98">
        <f t="shared" si="29"/>
        <v>0.66692972414896079</v>
      </c>
      <c r="AL54" s="99">
        <f t="shared" si="22"/>
        <v>286364218.84014189</v>
      </c>
      <c r="AM54" s="90">
        <f t="shared" si="23"/>
        <v>0.26163887005985986</v>
      </c>
      <c r="AO54" s="100">
        <f t="shared" si="30"/>
        <v>51608030.499361344</v>
      </c>
      <c r="AP54" s="101">
        <f t="shared" si="31"/>
        <v>21502733.313439209</v>
      </c>
      <c r="AQ54" s="101">
        <f t="shared" si="32"/>
        <v>422241802.86727071</v>
      </c>
      <c r="AR54" s="101">
        <f t="shared" si="33"/>
        <v>495352566.68007123</v>
      </c>
      <c r="AS54" s="102">
        <f t="shared" si="24"/>
        <v>9.2082416956829796E-2</v>
      </c>
    </row>
    <row r="55" spans="1:45" ht="14.25">
      <c r="A55" s="7" t="s">
        <v>48</v>
      </c>
      <c r="B55" s="85">
        <v>268955</v>
      </c>
      <c r="C55" s="192">
        <f t="shared" si="25"/>
        <v>5.7796804011124629E-2</v>
      </c>
      <c r="D55" s="87">
        <f t="shared" si="14"/>
        <v>4.9127283409455935E-2</v>
      </c>
      <c r="E55" s="88">
        <v>885.01</v>
      </c>
      <c r="F55" s="189">
        <f t="shared" si="26"/>
        <v>1.3780879331624E-2</v>
      </c>
      <c r="G55" s="89">
        <f t="shared" si="15"/>
        <v>2.0671318997435998E-3</v>
      </c>
      <c r="H55" s="90">
        <f t="shared" si="16"/>
        <v>5.1194415309199534E-2</v>
      </c>
      <c r="J55" s="91">
        <v>25924</v>
      </c>
      <c r="K55" s="92">
        <v>5313</v>
      </c>
      <c r="L55" s="92">
        <v>11983</v>
      </c>
      <c r="M55" s="92">
        <v>721</v>
      </c>
      <c r="N55" s="93">
        <f t="shared" si="17"/>
        <v>1.5159843840275454E-2</v>
      </c>
      <c r="O55" s="93">
        <f t="shared" si="17"/>
        <v>1.5100098905221513E-2</v>
      </c>
      <c r="P55" s="93">
        <f t="shared" si="17"/>
        <v>8.9666804350819213E-3</v>
      </c>
      <c r="Q55" s="93">
        <f t="shared" si="17"/>
        <v>4.6049102010576604E-3</v>
      </c>
      <c r="R55" s="94">
        <f t="shared" si="18"/>
        <v>4.3831533381636548E-2</v>
      </c>
      <c r="S55" s="95">
        <v>21053.000000219407</v>
      </c>
      <c r="T55" s="95">
        <v>4306</v>
      </c>
      <c r="U55" s="95">
        <v>2328</v>
      </c>
      <c r="V55" s="95">
        <v>359</v>
      </c>
      <c r="W55" s="96">
        <f t="shared" si="19"/>
        <v>1.655745285970131E-2</v>
      </c>
      <c r="X55" s="96">
        <f t="shared" si="3"/>
        <v>1.4697850959831791E-2</v>
      </c>
      <c r="Y55" s="96">
        <f t="shared" si="3"/>
        <v>4.7272490984112542E-3</v>
      </c>
      <c r="Z55" s="96">
        <f t="shared" si="3"/>
        <v>6.5386857059594929E-3</v>
      </c>
      <c r="AA55" s="86">
        <f t="shared" si="20"/>
        <v>4.2521238623903848E-2</v>
      </c>
      <c r="AB55" s="97">
        <f t="shared" si="27"/>
        <v>3.6143052830318267E-2</v>
      </c>
      <c r="AC55" s="86">
        <f t="shared" si="5"/>
        <v>-2.9893883618537846E-2</v>
      </c>
      <c r="AD55" s="86">
        <f t="shared" si="6"/>
        <v>-2.9893883618537846E-2</v>
      </c>
      <c r="AE55" s="87">
        <f t="shared" si="21"/>
        <v>5.5704389034027758E-3</v>
      </c>
      <c r="AF55" s="87">
        <f t="shared" si="28"/>
        <v>8.3556583551041631E-4</v>
      </c>
      <c r="AG55" s="90">
        <f t="shared" si="8"/>
        <v>3.6978618665828682E-2</v>
      </c>
      <c r="AI55" s="88">
        <v>196135752</v>
      </c>
      <c r="AJ55" s="88">
        <v>83779155.390000001</v>
      </c>
      <c r="AK55" s="98">
        <f t="shared" si="29"/>
        <v>0.4271488218527339</v>
      </c>
      <c r="AL55" s="99">
        <f t="shared" si="22"/>
        <v>35786167.520655625</v>
      </c>
      <c r="AM55" s="90">
        <f t="shared" si="23"/>
        <v>3.2696307072860815E-2</v>
      </c>
      <c r="AO55" s="100">
        <f t="shared" si="30"/>
        <v>117044018.72801901</v>
      </c>
      <c r="AP55" s="101">
        <f t="shared" si="31"/>
        <v>54704252.182825468</v>
      </c>
      <c r="AQ55" s="101">
        <f t="shared" si="32"/>
        <v>52766424.35578496</v>
      </c>
      <c r="AR55" s="101">
        <f t="shared" si="33"/>
        <v>224514695.26662943</v>
      </c>
      <c r="AS55" s="102">
        <f t="shared" si="24"/>
        <v>4.1735638761370916E-2</v>
      </c>
    </row>
    <row r="56" spans="1:45" ht="14.25">
      <c r="A56" s="7" t="s">
        <v>49</v>
      </c>
      <c r="B56" s="85">
        <v>40469</v>
      </c>
      <c r="C56" s="192">
        <f t="shared" si="25"/>
        <v>8.6965435166708287E-3</v>
      </c>
      <c r="D56" s="87">
        <f t="shared" si="14"/>
        <v>7.3920619891702042E-3</v>
      </c>
      <c r="E56" s="88">
        <v>746.48</v>
      </c>
      <c r="F56" s="189">
        <f t="shared" si="26"/>
        <v>1.1623767870951384E-2</v>
      </c>
      <c r="G56" s="89">
        <f t="shared" si="15"/>
        <v>1.7435651806427075E-3</v>
      </c>
      <c r="H56" s="90">
        <f t="shared" si="16"/>
        <v>9.1356271698129123E-3</v>
      </c>
      <c r="J56" s="91">
        <v>4577</v>
      </c>
      <c r="K56" s="92">
        <v>1003</v>
      </c>
      <c r="L56" s="92">
        <v>3403</v>
      </c>
      <c r="M56" s="92">
        <v>757</v>
      </c>
      <c r="N56" s="93">
        <f t="shared" si="17"/>
        <v>2.6765393171169867E-3</v>
      </c>
      <c r="O56" s="93">
        <f t="shared" si="17"/>
        <v>2.8506303786819459E-3</v>
      </c>
      <c r="P56" s="93">
        <f t="shared" si="17"/>
        <v>2.5464085388119655E-3</v>
      </c>
      <c r="Q56" s="93">
        <f t="shared" si="17"/>
        <v>4.8348363692103311E-3</v>
      </c>
      <c r="R56" s="94">
        <f t="shared" si="18"/>
        <v>1.2908414603821229E-2</v>
      </c>
      <c r="S56" s="95">
        <v>2792.0000000464884</v>
      </c>
      <c r="T56" s="95">
        <v>666</v>
      </c>
      <c r="U56" s="95">
        <v>1225</v>
      </c>
      <c r="V56" s="95">
        <v>325</v>
      </c>
      <c r="W56" s="96">
        <f t="shared" si="19"/>
        <v>2.1958109715752628E-3</v>
      </c>
      <c r="X56" s="96">
        <f t="shared" si="3"/>
        <v>2.2732858196116983E-3</v>
      </c>
      <c r="Y56" s="96">
        <f t="shared" si="3"/>
        <v>2.4874914714578121E-3</v>
      </c>
      <c r="Z56" s="96">
        <f t="shared" si="3"/>
        <v>5.9194229928602651E-3</v>
      </c>
      <c r="AA56" s="86">
        <f t="shared" si="20"/>
        <v>1.2876011255505039E-2</v>
      </c>
      <c r="AB56" s="97">
        <f t="shared" si="27"/>
        <v>1.0944609567179282E-2</v>
      </c>
      <c r="AC56" s="86">
        <f t="shared" si="5"/>
        <v>-2.5102500431461333E-3</v>
      </c>
      <c r="AD56" s="86">
        <f t="shared" si="6"/>
        <v>-2.5102500431461333E-3</v>
      </c>
      <c r="AE56" s="87">
        <f t="shared" si="21"/>
        <v>4.6776105360022324E-4</v>
      </c>
      <c r="AF56" s="87">
        <f t="shared" si="28"/>
        <v>7.0164158040033481E-5</v>
      </c>
      <c r="AG56" s="90">
        <f t="shared" si="8"/>
        <v>1.1014773725219315E-2</v>
      </c>
      <c r="AI56" s="88">
        <v>120711722</v>
      </c>
      <c r="AJ56" s="88">
        <v>38729563.25</v>
      </c>
      <c r="AK56" s="98">
        <f t="shared" si="29"/>
        <v>0.32084343267010967</v>
      </c>
      <c r="AL56" s="99">
        <f t="shared" si="22"/>
        <v>12426126.018944129</v>
      </c>
      <c r="AM56" s="90">
        <f t="shared" si="23"/>
        <v>1.1353225567028233E-2</v>
      </c>
      <c r="AO56" s="100">
        <f t="shared" si="30"/>
        <v>20886468.008232843</v>
      </c>
      <c r="AP56" s="101">
        <f t="shared" si="31"/>
        <v>16294685.451784283</v>
      </c>
      <c r="AQ56" s="101">
        <f t="shared" si="32"/>
        <v>18322225.710132547</v>
      </c>
      <c r="AR56" s="101">
        <f t="shared" si="33"/>
        <v>55503379.170149677</v>
      </c>
      <c r="AS56" s="102">
        <f t="shared" si="24"/>
        <v>1.0317671991714267E-2</v>
      </c>
    </row>
    <row r="57" spans="1:45" ht="14.25">
      <c r="A57" s="7" t="s">
        <v>50</v>
      </c>
      <c r="B57" s="85">
        <v>1971</v>
      </c>
      <c r="C57" s="192">
        <f t="shared" si="25"/>
        <v>4.2355598782668714E-4</v>
      </c>
      <c r="D57" s="87">
        <f t="shared" si="14"/>
        <v>3.6002258965268404E-4</v>
      </c>
      <c r="E57" s="88">
        <v>1766.28</v>
      </c>
      <c r="F57" s="189">
        <f t="shared" si="26"/>
        <v>2.7503521480955966E-2</v>
      </c>
      <c r="G57" s="89">
        <f t="shared" si="15"/>
        <v>4.1255282221433947E-3</v>
      </c>
      <c r="H57" s="90">
        <f t="shared" si="16"/>
        <v>4.4855508117960788E-3</v>
      </c>
      <c r="J57" s="91">
        <v>477</v>
      </c>
      <c r="K57" s="92">
        <v>88</v>
      </c>
      <c r="L57" s="92">
        <v>1037</v>
      </c>
      <c r="M57" s="92">
        <v>127</v>
      </c>
      <c r="N57" s="93">
        <f t="shared" si="17"/>
        <v>2.7894019101262893E-4</v>
      </c>
      <c r="O57" s="93">
        <f t="shared" si="17"/>
        <v>2.5010515785045984E-4</v>
      </c>
      <c r="P57" s="93">
        <f t="shared" si="17"/>
        <v>7.7596992499206823E-4</v>
      </c>
      <c r="Q57" s="93">
        <f t="shared" si="17"/>
        <v>8.1112842653858932E-4</v>
      </c>
      <c r="R57" s="94">
        <f t="shared" si="18"/>
        <v>2.1161437003937465E-3</v>
      </c>
      <c r="S57" s="95">
        <v>265.99999999676999</v>
      </c>
      <c r="T57" s="95">
        <v>85</v>
      </c>
      <c r="U57" s="95">
        <v>641</v>
      </c>
      <c r="V57" s="95">
        <v>46</v>
      </c>
      <c r="W57" s="96">
        <f t="shared" si="19"/>
        <v>2.0919975588187754E-4</v>
      </c>
      <c r="X57" s="96">
        <f t="shared" si="3"/>
        <v>2.9013407607656811E-4</v>
      </c>
      <c r="Y57" s="96">
        <f t="shared" si="3"/>
        <v>1.3016179862893531E-3</v>
      </c>
      <c r="Z57" s="96">
        <f t="shared" si="3"/>
        <v>8.3782602360483755E-4</v>
      </c>
      <c r="AA57" s="86">
        <f t="shared" si="20"/>
        <v>2.6387778418526363E-3</v>
      </c>
      <c r="AB57" s="97">
        <f t="shared" si="27"/>
        <v>2.2429611655747409E-3</v>
      </c>
      <c r="AC57" s="86">
        <f t="shared" si="5"/>
        <v>0.24697478784717899</v>
      </c>
      <c r="AD57" s="86">
        <f t="shared" si="6"/>
        <v>0</v>
      </c>
      <c r="AE57" s="87">
        <f t="shared" si="21"/>
        <v>0</v>
      </c>
      <c r="AF57" s="87">
        <f t="shared" si="28"/>
        <v>0</v>
      </c>
      <c r="AG57" s="90">
        <f t="shared" si="8"/>
        <v>2.2429611655747409E-3</v>
      </c>
      <c r="AI57" s="88">
        <v>4478168</v>
      </c>
      <c r="AJ57" s="88">
        <v>1094214</v>
      </c>
      <c r="AK57" s="98">
        <f t="shared" si="29"/>
        <v>0.24434411571874928</v>
      </c>
      <c r="AL57" s="99">
        <f t="shared" si="22"/>
        <v>267364.75223707553</v>
      </c>
      <c r="AM57" s="90">
        <f t="shared" si="23"/>
        <v>2.4427986133348926E-4</v>
      </c>
      <c r="AO57" s="100">
        <f t="shared" si="30"/>
        <v>10255159.474924181</v>
      </c>
      <c r="AP57" s="101">
        <f t="shared" si="31"/>
        <v>3318120.5157149183</v>
      </c>
      <c r="AQ57" s="101">
        <f t="shared" si="32"/>
        <v>394227.23783366365</v>
      </c>
      <c r="AR57" s="101">
        <f t="shared" si="33"/>
        <v>13967507.228472762</v>
      </c>
      <c r="AS57" s="102">
        <f t="shared" si="24"/>
        <v>2.5964573739464328E-3</v>
      </c>
    </row>
    <row r="58" spans="1:45" ht="14.25">
      <c r="A58" s="7" t="s">
        <v>51</v>
      </c>
      <c r="B58" s="85">
        <v>4113</v>
      </c>
      <c r="C58" s="192">
        <f t="shared" si="25"/>
        <v>8.8385884217715089E-4</v>
      </c>
      <c r="D58" s="87">
        <f t="shared" si="14"/>
        <v>7.5128001585057823E-4</v>
      </c>
      <c r="E58" s="88">
        <v>879.68</v>
      </c>
      <c r="F58" s="189">
        <f t="shared" si="26"/>
        <v>1.3697883561138291E-2</v>
      </c>
      <c r="G58" s="89">
        <f t="shared" si="15"/>
        <v>2.0546825341707436E-3</v>
      </c>
      <c r="H58" s="90">
        <f t="shared" si="16"/>
        <v>2.8059625500213218E-3</v>
      </c>
      <c r="J58" s="91">
        <v>765</v>
      </c>
      <c r="K58" s="92">
        <v>138</v>
      </c>
      <c r="L58" s="92">
        <v>1343</v>
      </c>
      <c r="M58" s="92">
        <v>81</v>
      </c>
      <c r="N58" s="93">
        <f t="shared" si="17"/>
        <v>4.4735691011459354E-4</v>
      </c>
      <c r="O58" s="93">
        <f t="shared" si="17"/>
        <v>3.9221036117458475E-4</v>
      </c>
      <c r="P58" s="93">
        <f t="shared" si="17"/>
        <v>1.0049446569569407E-3</v>
      </c>
      <c r="Q58" s="93">
        <f t="shared" si="17"/>
        <v>5.1733387834350972E-4</v>
      </c>
      <c r="R58" s="94">
        <f t="shared" si="18"/>
        <v>2.3618458065896289E-3</v>
      </c>
      <c r="S58" s="95">
        <v>609.99999999842794</v>
      </c>
      <c r="T58" s="95">
        <v>123</v>
      </c>
      <c r="U58" s="95">
        <v>468</v>
      </c>
      <c r="V58" s="95">
        <v>34</v>
      </c>
      <c r="W58" s="96">
        <f t="shared" si="19"/>
        <v>4.7974380108709025E-4</v>
      </c>
      <c r="X58" s="96">
        <f t="shared" si="3"/>
        <v>4.198410747931515E-4</v>
      </c>
      <c r="Y58" s="96">
        <f t="shared" si="3"/>
        <v>9.5032327236102532E-4</v>
      </c>
      <c r="Z58" s="96">
        <f t="shared" si="3"/>
        <v>6.1926271309922776E-4</v>
      </c>
      <c r="AA58" s="86">
        <f t="shared" si="20"/>
        <v>2.4691708613404947E-3</v>
      </c>
      <c r="AB58" s="97">
        <f t="shared" si="27"/>
        <v>2.0987952321394206E-3</v>
      </c>
      <c r="AC58" s="86">
        <f t="shared" si="5"/>
        <v>4.5441177595686125E-2</v>
      </c>
      <c r="AD58" s="86">
        <f t="shared" si="6"/>
        <v>0</v>
      </c>
      <c r="AE58" s="87">
        <f t="shared" si="21"/>
        <v>0</v>
      </c>
      <c r="AF58" s="87">
        <f t="shared" si="28"/>
        <v>0</v>
      </c>
      <c r="AG58" s="90">
        <f t="shared" si="8"/>
        <v>2.0987952321394206E-3</v>
      </c>
      <c r="AI58" s="88">
        <v>2641843</v>
      </c>
      <c r="AJ58" s="88">
        <v>508208</v>
      </c>
      <c r="AK58" s="98">
        <f t="shared" si="29"/>
        <v>0.19236873652219302</v>
      </c>
      <c r="AL58" s="99">
        <f t="shared" si="22"/>
        <v>97763.330850470666</v>
      </c>
      <c r="AM58" s="90">
        <f t="shared" si="23"/>
        <v>8.9322218818421115E-5</v>
      </c>
      <c r="AO58" s="100">
        <f t="shared" si="30"/>
        <v>6415175.000461407</v>
      </c>
      <c r="AP58" s="101">
        <f t="shared" si="31"/>
        <v>3104848.9046229129</v>
      </c>
      <c r="AQ58" s="101">
        <f t="shared" si="32"/>
        <v>144151.26736087078</v>
      </c>
      <c r="AR58" s="101">
        <f t="shared" si="33"/>
        <v>9664175.1724451911</v>
      </c>
      <c r="AS58" s="102">
        <f t="shared" si="24"/>
        <v>1.7964994382429283E-3</v>
      </c>
    </row>
    <row r="59" spans="1:45" ht="15.75" thickBot="1">
      <c r="A59" s="11" t="s">
        <v>52</v>
      </c>
      <c r="B59" s="103">
        <f>SUM(B8:B58)</f>
        <v>4653458</v>
      </c>
      <c r="C59" s="193">
        <f>SUM(C8:C58)</f>
        <v>0.99999999999999989</v>
      </c>
      <c r="D59" s="105">
        <f>SUM(D8:D58)</f>
        <v>0.85000000000000009</v>
      </c>
      <c r="E59" s="106">
        <f>SUM(E8:E58)</f>
        <v>64220.140000000021</v>
      </c>
      <c r="F59" s="190">
        <f t="shared" si="26"/>
        <v>1</v>
      </c>
      <c r="G59" s="107">
        <f>SUM(G8:G58)</f>
        <v>0.15</v>
      </c>
      <c r="H59" s="108">
        <f>SUM(H8:H58)</f>
        <v>1</v>
      </c>
      <c r="J59" s="109">
        <v>427511</v>
      </c>
      <c r="K59" s="110">
        <v>87963</v>
      </c>
      <c r="L59" s="110">
        <v>334098</v>
      </c>
      <c r="M59" s="110">
        <v>39143</v>
      </c>
      <c r="N59" s="111">
        <f>SUM(N8:N58)</f>
        <v>0.25</v>
      </c>
      <c r="O59" s="111">
        <f t="shared" ref="O59:Q59" si="34">SUM(O8:O58)</f>
        <v>0.24999999999999994</v>
      </c>
      <c r="P59" s="111">
        <f t="shared" si="34"/>
        <v>0.25</v>
      </c>
      <c r="Q59" s="111">
        <f t="shared" si="34"/>
        <v>0.25</v>
      </c>
      <c r="R59" s="112">
        <f>SUM(R8:R58)</f>
        <v>1</v>
      </c>
      <c r="S59" s="113">
        <v>317877.99999509094</v>
      </c>
      <c r="T59" s="113">
        <v>73242</v>
      </c>
      <c r="U59" s="113">
        <v>123116</v>
      </c>
      <c r="V59" s="113">
        <v>13726</v>
      </c>
      <c r="W59" s="114">
        <f>SUM(W8:W58)</f>
        <v>0.24999999999999994</v>
      </c>
      <c r="X59" s="114">
        <f t="shared" ref="X59:Z59" si="35">SUM(X8:X58)</f>
        <v>0.24999999999999997</v>
      </c>
      <c r="Y59" s="114">
        <f t="shared" si="35"/>
        <v>0.24999999999999997</v>
      </c>
      <c r="Z59" s="114">
        <f t="shared" si="35"/>
        <v>0.25000000000000006</v>
      </c>
      <c r="AA59" s="112">
        <f>SUM(AA8:AA58)</f>
        <v>1.0000000000000002</v>
      </c>
      <c r="AB59" s="115">
        <f>SUM(AB8:AB58)</f>
        <v>0.85</v>
      </c>
      <c r="AC59" s="116"/>
      <c r="AD59" s="104">
        <f>SUM(AD8:AD58)</f>
        <v>-5.3665221245451189</v>
      </c>
      <c r="AE59" s="117">
        <f>SUM(AE8:AE58)</f>
        <v>1.0000000000000002</v>
      </c>
      <c r="AF59" s="105">
        <f>SUM(AF8:AF58)</f>
        <v>0.15000000000000005</v>
      </c>
      <c r="AG59" s="108">
        <f>SUM(AG8:AG58)</f>
        <v>1.0000000000000002</v>
      </c>
      <c r="AI59" s="118">
        <f>SUM(AI8:AI58)</f>
        <v>4498639132</v>
      </c>
      <c r="AJ59" s="106">
        <f>SUM(AJ8:AJ58)</f>
        <v>2141009139.2900004</v>
      </c>
      <c r="AK59" s="119">
        <f t="shared" ref="AK59" si="36">+AJ59/$E$59</f>
        <v>33338.593458220421</v>
      </c>
      <c r="AL59" s="120">
        <f>SUM(AL8:AL58)</f>
        <v>1094501817.6184034</v>
      </c>
      <c r="AM59" s="108">
        <f>SUM(AM8:AM58)</f>
        <v>1.0000000000000004</v>
      </c>
      <c r="AO59" s="121">
        <f>SUM(AO8:AO58)</f>
        <v>2286265367.4450002</v>
      </c>
      <c r="AP59" s="122">
        <f t="shared" ref="AP59:AQ59" si="37">SUM(AP8:AP58)</f>
        <v>1479348178.9350004</v>
      </c>
      <c r="AQ59" s="122">
        <f t="shared" si="37"/>
        <v>1613834377.0200012</v>
      </c>
      <c r="AR59" s="122">
        <f>SUM(AR8:AR58)</f>
        <v>5379447923.4000025</v>
      </c>
      <c r="AS59" s="123">
        <f>SUM(AS8:AS58)</f>
        <v>0.99999999999999956</v>
      </c>
    </row>
    <row r="60" spans="1:45" ht="13.5" thickTop="1">
      <c r="F60" s="125"/>
      <c r="R60" s="127"/>
    </row>
    <row r="61" spans="1:45" ht="15.75" customHeight="1">
      <c r="A61" s="55" t="s">
        <v>137</v>
      </c>
      <c r="F61" s="125"/>
      <c r="R61" s="127"/>
    </row>
    <row r="62" spans="1:45" s="52" customFormat="1">
      <c r="D62" s="128"/>
      <c r="G62" s="128"/>
      <c r="H62" s="129"/>
      <c r="R62" s="130"/>
      <c r="S62" s="130"/>
      <c r="AB62" s="128"/>
      <c r="AE62" s="128"/>
      <c r="AF62" s="128"/>
      <c r="AG62" s="129"/>
    </row>
    <row r="63" spans="1:45">
      <c r="R63" s="127"/>
    </row>
    <row r="64" spans="1:45">
      <c r="R64" s="127"/>
    </row>
    <row r="65" spans="4:40">
      <c r="R65" s="127"/>
    </row>
    <row r="66" spans="4:40">
      <c r="D66" s="55"/>
      <c r="G66" s="55"/>
      <c r="H66" s="55"/>
      <c r="I66" s="55"/>
      <c r="R66" s="127"/>
      <c r="AB66" s="55"/>
      <c r="AE66" s="55"/>
      <c r="AF66" s="55"/>
      <c r="AG66" s="55"/>
      <c r="AH66" s="55"/>
      <c r="AN66" s="55"/>
    </row>
    <row r="67" spans="4:40">
      <c r="D67" s="55"/>
      <c r="G67" s="55"/>
      <c r="H67" s="55"/>
      <c r="I67" s="55"/>
      <c r="R67" s="127"/>
      <c r="AB67" s="55"/>
      <c r="AE67" s="55"/>
      <c r="AF67" s="55"/>
      <c r="AG67" s="55"/>
      <c r="AH67" s="55"/>
      <c r="AN67" s="55"/>
    </row>
    <row r="68" spans="4:40">
      <c r="D68" s="55"/>
      <c r="G68" s="55"/>
      <c r="H68" s="55"/>
      <c r="I68" s="55"/>
      <c r="R68" s="127"/>
      <c r="AB68" s="55"/>
      <c r="AE68" s="55"/>
      <c r="AF68" s="55"/>
      <c r="AG68" s="55"/>
      <c r="AH68" s="55"/>
      <c r="AN68" s="55"/>
    </row>
    <row r="69" spans="4:40">
      <c r="D69" s="55"/>
      <c r="G69" s="55"/>
      <c r="H69" s="55"/>
      <c r="I69" s="55"/>
      <c r="R69" s="127"/>
      <c r="AB69" s="55"/>
      <c r="AE69" s="55"/>
      <c r="AF69" s="55"/>
      <c r="AG69" s="55"/>
      <c r="AH69" s="55"/>
      <c r="AN69" s="55"/>
    </row>
    <row r="70" spans="4:40">
      <c r="D70" s="55"/>
      <c r="G70" s="55"/>
      <c r="H70" s="55"/>
      <c r="I70" s="55"/>
      <c r="R70" s="127"/>
      <c r="AB70" s="55"/>
      <c r="AE70" s="55"/>
      <c r="AF70" s="55"/>
      <c r="AG70" s="55"/>
      <c r="AH70" s="55"/>
      <c r="AN70" s="55"/>
    </row>
    <row r="71" spans="4:40">
      <c r="D71" s="55"/>
      <c r="G71" s="55"/>
      <c r="H71" s="55"/>
      <c r="I71" s="55"/>
      <c r="R71" s="127"/>
      <c r="AB71" s="55"/>
      <c r="AE71" s="55"/>
      <c r="AF71" s="55"/>
      <c r="AG71" s="55"/>
      <c r="AH71" s="55"/>
      <c r="AN71" s="55"/>
    </row>
    <row r="72" spans="4:40">
      <c r="D72" s="55"/>
      <c r="G72" s="55"/>
      <c r="H72" s="55"/>
      <c r="I72" s="55"/>
      <c r="R72" s="127"/>
      <c r="AB72" s="55"/>
      <c r="AE72" s="55"/>
      <c r="AF72" s="55"/>
      <c r="AG72" s="55"/>
      <c r="AH72" s="55"/>
      <c r="AN72" s="55"/>
    </row>
    <row r="73" spans="4:40">
      <c r="D73" s="55"/>
      <c r="G73" s="55"/>
      <c r="H73" s="55"/>
      <c r="I73" s="55"/>
      <c r="R73" s="127"/>
      <c r="AB73" s="55"/>
      <c r="AE73" s="55"/>
      <c r="AF73" s="55"/>
      <c r="AG73" s="55"/>
      <c r="AH73" s="55"/>
      <c r="AN73" s="55"/>
    </row>
    <row r="74" spans="4:40">
      <c r="D74" s="55"/>
      <c r="G74" s="55"/>
      <c r="H74" s="55"/>
      <c r="I74" s="55"/>
      <c r="R74" s="127"/>
      <c r="AB74" s="55"/>
      <c r="AE74" s="55"/>
      <c r="AF74" s="55"/>
      <c r="AG74" s="55"/>
      <c r="AH74" s="55"/>
      <c r="AN74" s="55"/>
    </row>
    <row r="75" spans="4:40">
      <c r="D75" s="55"/>
      <c r="G75" s="55"/>
      <c r="H75" s="55"/>
      <c r="I75" s="55"/>
      <c r="R75" s="127"/>
      <c r="AB75" s="55"/>
      <c r="AE75" s="55"/>
      <c r="AF75" s="55"/>
      <c r="AG75" s="55"/>
      <c r="AH75" s="55"/>
      <c r="AN75" s="55"/>
    </row>
    <row r="76" spans="4:40">
      <c r="D76" s="55"/>
      <c r="G76" s="55"/>
      <c r="H76" s="55"/>
      <c r="I76" s="55"/>
      <c r="R76" s="127"/>
      <c r="AB76" s="55"/>
      <c r="AE76" s="55"/>
      <c r="AF76" s="55"/>
      <c r="AG76" s="55"/>
      <c r="AH76" s="55"/>
      <c r="AN76" s="55"/>
    </row>
    <row r="77" spans="4:40">
      <c r="D77" s="55"/>
      <c r="G77" s="55"/>
      <c r="H77" s="55"/>
      <c r="I77" s="55"/>
      <c r="R77" s="127"/>
      <c r="AB77" s="55"/>
      <c r="AE77" s="55"/>
      <c r="AF77" s="55"/>
      <c r="AG77" s="55"/>
      <c r="AH77" s="55"/>
      <c r="AN77" s="55"/>
    </row>
    <row r="78" spans="4:40">
      <c r="D78" s="55"/>
      <c r="G78" s="55"/>
      <c r="H78" s="55"/>
      <c r="I78" s="55"/>
      <c r="R78" s="127"/>
      <c r="AB78" s="55"/>
      <c r="AE78" s="55"/>
      <c r="AF78" s="55"/>
      <c r="AG78" s="55"/>
      <c r="AH78" s="55"/>
      <c r="AN78" s="55"/>
    </row>
    <row r="79" spans="4:40">
      <c r="D79" s="55"/>
      <c r="G79" s="55"/>
      <c r="H79" s="55"/>
      <c r="I79" s="55"/>
      <c r="R79" s="127"/>
      <c r="AB79" s="55"/>
      <c r="AE79" s="55"/>
      <c r="AF79" s="55"/>
      <c r="AG79" s="55"/>
      <c r="AH79" s="55"/>
      <c r="AN79" s="55"/>
    </row>
    <row r="80" spans="4:40">
      <c r="D80" s="55"/>
      <c r="G80" s="55"/>
      <c r="H80" s="55"/>
      <c r="I80" s="55"/>
      <c r="R80" s="127"/>
      <c r="AB80" s="55"/>
      <c r="AE80" s="55"/>
      <c r="AF80" s="55"/>
      <c r="AG80" s="55"/>
      <c r="AH80" s="55"/>
      <c r="AN80" s="55"/>
    </row>
    <row r="81" spans="4:40">
      <c r="D81" s="55"/>
      <c r="G81" s="55"/>
      <c r="H81" s="55"/>
      <c r="I81" s="55"/>
      <c r="R81" s="127"/>
      <c r="AB81" s="55"/>
      <c r="AE81" s="55"/>
      <c r="AF81" s="55"/>
      <c r="AG81" s="55"/>
      <c r="AH81" s="55"/>
      <c r="AN81" s="55"/>
    </row>
    <row r="82" spans="4:40">
      <c r="D82" s="55"/>
      <c r="G82" s="55"/>
      <c r="H82" s="55"/>
      <c r="I82" s="55"/>
      <c r="R82" s="127"/>
      <c r="AB82" s="55"/>
      <c r="AE82" s="55"/>
      <c r="AF82" s="55"/>
      <c r="AG82" s="55"/>
      <c r="AH82" s="55"/>
      <c r="AN82" s="55"/>
    </row>
    <row r="83" spans="4:40">
      <c r="D83" s="55"/>
      <c r="G83" s="55"/>
      <c r="H83" s="55"/>
      <c r="I83" s="55"/>
      <c r="R83" s="127"/>
      <c r="AB83" s="55"/>
      <c r="AE83" s="55"/>
      <c r="AF83" s="55"/>
      <c r="AG83" s="55"/>
      <c r="AH83" s="55"/>
      <c r="AN83" s="55"/>
    </row>
    <row r="84" spans="4:40">
      <c r="D84" s="55"/>
      <c r="G84" s="55"/>
      <c r="H84" s="55"/>
      <c r="I84" s="55"/>
      <c r="R84" s="127"/>
      <c r="AB84" s="55"/>
      <c r="AE84" s="55"/>
      <c r="AF84" s="55"/>
      <c r="AG84" s="55"/>
      <c r="AH84" s="55"/>
      <c r="AN84" s="55"/>
    </row>
    <row r="85" spans="4:40">
      <c r="D85" s="55"/>
      <c r="G85" s="55"/>
      <c r="H85" s="55"/>
      <c r="I85" s="55"/>
      <c r="R85" s="127"/>
      <c r="AB85" s="55"/>
      <c r="AE85" s="55"/>
      <c r="AF85" s="55"/>
      <c r="AG85" s="55"/>
      <c r="AH85" s="55"/>
      <c r="AN85" s="55"/>
    </row>
    <row r="86" spans="4:40">
      <c r="D86" s="55"/>
      <c r="G86" s="55"/>
      <c r="H86" s="55"/>
      <c r="I86" s="55"/>
      <c r="R86" s="127"/>
      <c r="AB86" s="55"/>
      <c r="AE86" s="55"/>
      <c r="AF86" s="55"/>
      <c r="AG86" s="55"/>
      <c r="AH86" s="55"/>
      <c r="AN86" s="55"/>
    </row>
    <row r="87" spans="4:40">
      <c r="D87" s="55"/>
      <c r="G87" s="55"/>
      <c r="H87" s="55"/>
      <c r="I87" s="55"/>
      <c r="R87" s="127"/>
      <c r="AB87" s="55"/>
      <c r="AE87" s="55"/>
      <c r="AF87" s="55"/>
      <c r="AG87" s="55"/>
      <c r="AH87" s="55"/>
      <c r="AN87" s="55"/>
    </row>
    <row r="88" spans="4:40">
      <c r="D88" s="55"/>
      <c r="G88" s="55"/>
      <c r="H88" s="55"/>
      <c r="I88" s="55"/>
      <c r="R88" s="127"/>
      <c r="AB88" s="55"/>
      <c r="AE88" s="55"/>
      <c r="AF88" s="55"/>
      <c r="AG88" s="55"/>
      <c r="AH88" s="55"/>
      <c r="AN88" s="55"/>
    </row>
  </sheetData>
  <mergeCells count="4">
    <mergeCell ref="A1:AS1"/>
    <mergeCell ref="AI3:AM3"/>
    <mergeCell ref="B3:H3"/>
    <mergeCell ref="J3:AG3"/>
  </mergeCells>
  <phoneticPr fontId="0" type="noConversion"/>
  <printOptions horizontalCentered="1"/>
  <pageMargins left="0.27559055118110237" right="0.19685039370078741" top="0.15748031496062992" bottom="0.43307086614173229" header="0.15748031496062992" footer="0.23622047244094491"/>
  <pageSetup scale="70" orientation="portrait" r:id="rId1"/>
  <headerFooter alignWithMargins="0">
    <oddFooter>&amp;R&amp;8&amp;D
&amp;F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zoomScaleNormal="100" workbookViewId="0">
      <selection activeCell="E4" sqref="E4"/>
    </sheetView>
  </sheetViews>
  <sheetFormatPr baseColWidth="10" defaultColWidth="9.7109375" defaultRowHeight="12.75"/>
  <cols>
    <col min="1" max="1" width="30.28515625" style="55" customWidth="1"/>
    <col min="2" max="2" width="12.42578125" style="55" customWidth="1"/>
    <col min="3" max="3" width="14.140625" style="126" customWidth="1"/>
    <col min="4" max="4" width="3.7109375" style="52" customWidth="1"/>
    <col min="5" max="5" width="14.7109375" style="55" customWidth="1"/>
    <col min="6" max="6" width="15.7109375" style="126" customWidth="1"/>
    <col min="7" max="7" width="3.7109375" style="52" customWidth="1"/>
    <col min="8" max="8" width="16.140625" style="126" customWidth="1"/>
    <col min="9" max="9" width="3.7109375" style="52" customWidth="1"/>
    <col min="10" max="12" width="18.42578125" style="55" customWidth="1"/>
    <col min="13" max="13" width="15.7109375" style="55" customWidth="1"/>
    <col min="14" max="14" width="15.7109375" style="126" customWidth="1"/>
    <col min="15" max="16384" width="9.7109375" style="55"/>
  </cols>
  <sheetData>
    <row r="1" spans="1:14" s="169" customFormat="1" ht="51" customHeight="1">
      <c r="A1" s="255" t="s">
        <v>226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6.25" customHeight="1"/>
    <row r="3" spans="1:14" ht="37.5" customHeight="1" thickBot="1">
      <c r="B3" s="257" t="s">
        <v>176</v>
      </c>
      <c r="C3" s="258"/>
      <c r="E3" s="259" t="s">
        <v>179</v>
      </c>
      <c r="F3" s="259"/>
      <c r="H3" s="242" t="s">
        <v>177</v>
      </c>
    </row>
    <row r="4" spans="1:14" ht="39" customHeight="1" thickBot="1">
      <c r="A4" s="48" t="s">
        <v>0</v>
      </c>
      <c r="B4" s="48" t="s">
        <v>228</v>
      </c>
      <c r="C4" s="166" t="s">
        <v>157</v>
      </c>
      <c r="E4" s="131" t="s">
        <v>227</v>
      </c>
      <c r="F4" s="166" t="s">
        <v>158</v>
      </c>
      <c r="H4" s="166" t="s">
        <v>164</v>
      </c>
      <c r="J4" s="22" t="s">
        <v>161</v>
      </c>
      <c r="K4" s="22" t="s">
        <v>162</v>
      </c>
      <c r="L4" s="22" t="s">
        <v>163</v>
      </c>
      <c r="M4" s="22" t="s">
        <v>99</v>
      </c>
      <c r="N4" s="132" t="s">
        <v>156</v>
      </c>
    </row>
    <row r="5" spans="1:14">
      <c r="A5" s="175"/>
      <c r="B5" s="172"/>
      <c r="C5" s="178"/>
      <c r="D5" s="187"/>
      <c r="E5" s="194"/>
      <c r="F5" s="178"/>
      <c r="G5" s="187"/>
      <c r="H5" s="178"/>
      <c r="I5" s="187"/>
      <c r="J5" s="180" t="s">
        <v>180</v>
      </c>
      <c r="K5" s="180" t="s">
        <v>180</v>
      </c>
      <c r="L5" s="180" t="s">
        <v>180</v>
      </c>
      <c r="M5" s="180" t="s">
        <v>180</v>
      </c>
      <c r="N5" s="195"/>
    </row>
    <row r="6" spans="1:14" s="58" customFormat="1" ht="11.25">
      <c r="A6" s="133"/>
      <c r="B6" s="181" t="s">
        <v>58</v>
      </c>
      <c r="C6" s="196" t="s">
        <v>112</v>
      </c>
      <c r="D6" s="57"/>
      <c r="E6" s="134" t="s">
        <v>57</v>
      </c>
      <c r="F6" s="196" t="s">
        <v>113</v>
      </c>
      <c r="G6" s="57"/>
      <c r="H6" s="184" t="s">
        <v>97</v>
      </c>
      <c r="I6" s="57"/>
      <c r="J6" s="56">
        <f>+M6*0.35</f>
        <v>71838047.469999999</v>
      </c>
      <c r="K6" s="56">
        <f>+M6*0.35</f>
        <v>71838047.469999999</v>
      </c>
      <c r="L6" s="56">
        <f>+M6*0.3</f>
        <v>61575469.260000005</v>
      </c>
      <c r="M6" s="56">
        <f>+'PARTICIPACIONES 2015'!C16</f>
        <v>205251564.20000002</v>
      </c>
      <c r="N6" s="135"/>
    </row>
    <row r="7" spans="1:14" s="66" customFormat="1" ht="23.25" customHeight="1" thickBot="1">
      <c r="A7" s="59"/>
      <c r="B7" s="59"/>
      <c r="C7" s="136"/>
      <c r="D7" s="60"/>
      <c r="E7" s="137"/>
      <c r="F7" s="138"/>
      <c r="G7" s="60"/>
      <c r="H7" s="62"/>
      <c r="I7" s="60"/>
      <c r="J7" s="56" t="s">
        <v>159</v>
      </c>
      <c r="K7" s="56" t="s">
        <v>96</v>
      </c>
      <c r="L7" s="56" t="s">
        <v>160</v>
      </c>
      <c r="M7" s="65" t="s">
        <v>182</v>
      </c>
      <c r="N7" s="139" t="s">
        <v>98</v>
      </c>
    </row>
    <row r="8" spans="1:14" ht="13.5" thickTop="1">
      <c r="A8" s="5" t="s">
        <v>1</v>
      </c>
      <c r="B8" s="67">
        <v>2791</v>
      </c>
      <c r="C8" s="72">
        <f t="shared" ref="C8:C58" si="0">+B8/$B$59</f>
        <v>5.9976903197579094E-4</v>
      </c>
      <c r="E8" s="140">
        <v>2879.2591494978633</v>
      </c>
      <c r="F8" s="72">
        <f t="shared" ref="F8:F59" si="1">(E8/E$59)</f>
        <v>5.7429101039005752E-4</v>
      </c>
      <c r="H8" s="141">
        <f>+'COEF DIST PART'!AS8</f>
        <v>6.0165784739446971E-4</v>
      </c>
      <c r="J8" s="82">
        <f t="shared" ref="J8:J39" si="2">+C8*J$6</f>
        <v>43086.236190112817</v>
      </c>
      <c r="K8" s="83">
        <f t="shared" ref="K8:K39" si="3">+F8*K$6</f>
        <v>41255.944865995218</v>
      </c>
      <c r="L8" s="83">
        <f t="shared" ref="L8:L39" si="4">+H8*L$6</f>
        <v>37047.364287275945</v>
      </c>
      <c r="M8" s="83">
        <f>SUM(J8:L8)</f>
        <v>121389.54534338397</v>
      </c>
      <c r="N8" s="142">
        <f>+M8/M$59</f>
        <v>5.9141836904638787E-4</v>
      </c>
    </row>
    <row r="9" spans="1:14">
      <c r="A9" s="7" t="s">
        <v>2</v>
      </c>
      <c r="B9" s="85">
        <v>3443</v>
      </c>
      <c r="C9" s="90">
        <f t="shared" si="0"/>
        <v>7.3987989146995627E-4</v>
      </c>
      <c r="E9" s="143">
        <v>3454.6156293962986</v>
      </c>
      <c r="F9" s="90">
        <f t="shared" si="1"/>
        <v>6.8905041099245347E-4</v>
      </c>
      <c r="H9" s="144">
        <f>+'COEF DIST PART'!AS9</f>
        <v>3.1573246586852071E-3</v>
      </c>
      <c r="J9" s="100">
        <f t="shared" si="2"/>
        <v>53151.526765517163</v>
      </c>
      <c r="K9" s="101">
        <f t="shared" si="3"/>
        <v>49500.036134098882</v>
      </c>
      <c r="L9" s="101">
        <f t="shared" si="4"/>
        <v>194413.74746471096</v>
      </c>
      <c r="M9" s="101">
        <f t="shared" ref="M9:M58" si="5">SUM(J9:L9)</f>
        <v>297065.31036432704</v>
      </c>
      <c r="N9" s="145">
        <f t="shared" ref="N9:N58" si="6">+M9/M$59</f>
        <v>1.4473230034674058E-3</v>
      </c>
    </row>
    <row r="10" spans="1:14">
      <c r="A10" s="7" t="s">
        <v>3</v>
      </c>
      <c r="B10" s="85">
        <v>1374</v>
      </c>
      <c r="C10" s="90">
        <f t="shared" si="0"/>
        <v>2.9526429592788847E-4</v>
      </c>
      <c r="E10" s="143">
        <v>1275.5850677084129</v>
      </c>
      <c r="F10" s="90">
        <f t="shared" si="1"/>
        <v>2.5442553078297613E-4</v>
      </c>
      <c r="H10" s="144">
        <f>+'COEF DIST PART'!AS10</f>
        <v>3.2115363592397405E-3</v>
      </c>
      <c r="J10" s="100">
        <f t="shared" si="2"/>
        <v>21211.210507063781</v>
      </c>
      <c r="K10" s="101">
        <f t="shared" si="3"/>
        <v>18277.433357967384</v>
      </c>
      <c r="L10" s="101">
        <f t="shared" si="4"/>
        <v>197751.85836573897</v>
      </c>
      <c r="M10" s="101">
        <f t="shared" si="5"/>
        <v>237240.50223077013</v>
      </c>
      <c r="N10" s="145">
        <f t="shared" si="6"/>
        <v>1.1558523471207249E-3</v>
      </c>
    </row>
    <row r="11" spans="1:14" ht="13.5" customHeight="1">
      <c r="A11" s="7" t="s">
        <v>4</v>
      </c>
      <c r="B11" s="85">
        <v>32593</v>
      </c>
      <c r="C11" s="90">
        <f t="shared" si="0"/>
        <v>7.0040387170143149E-3</v>
      </c>
      <c r="E11" s="143">
        <v>34800.395485526933</v>
      </c>
      <c r="F11" s="90">
        <f t="shared" si="1"/>
        <v>6.9412141275446834E-3</v>
      </c>
      <c r="H11" s="144">
        <f>+'COEF DIST PART'!AS11</f>
        <v>7.9149998804969104E-3</v>
      </c>
      <c r="J11" s="100">
        <f t="shared" si="2"/>
        <v>503156.46583459224</v>
      </c>
      <c r="K11" s="101">
        <f t="shared" si="3"/>
        <v>498643.26999398961</v>
      </c>
      <c r="L11" s="101">
        <f t="shared" si="4"/>
        <v>487369.83183444123</v>
      </c>
      <c r="M11" s="101">
        <f t="shared" si="5"/>
        <v>1489169.567663023</v>
      </c>
      <c r="N11" s="145">
        <f t="shared" si="6"/>
        <v>7.2553384597447233E-3</v>
      </c>
    </row>
    <row r="12" spans="1:14">
      <c r="A12" s="7" t="s">
        <v>5</v>
      </c>
      <c r="B12" s="85">
        <v>18480</v>
      </c>
      <c r="C12" s="90">
        <f t="shared" si="0"/>
        <v>3.9712403120432159E-3</v>
      </c>
      <c r="E12" s="143">
        <v>19074.413586237348</v>
      </c>
      <c r="F12" s="90">
        <f t="shared" si="1"/>
        <v>3.8045426556857472E-3</v>
      </c>
      <c r="H12" s="144">
        <f>+'COEF DIST PART'!AS12</f>
        <v>1.0150014440168437E-2</v>
      </c>
      <c r="J12" s="100">
        <f t="shared" si="2"/>
        <v>285286.15005133813</v>
      </c>
      <c r="K12" s="101">
        <f t="shared" si="3"/>
        <v>273310.91590079258</v>
      </c>
      <c r="L12" s="101">
        <f t="shared" si="4"/>
        <v>624991.9021491477</v>
      </c>
      <c r="M12" s="101">
        <f t="shared" si="5"/>
        <v>1183588.9681012784</v>
      </c>
      <c r="N12" s="145">
        <f t="shared" si="6"/>
        <v>5.7665283707556683E-3</v>
      </c>
    </row>
    <row r="13" spans="1:14">
      <c r="A13" s="7" t="s">
        <v>6</v>
      </c>
      <c r="B13" s="85">
        <v>523370</v>
      </c>
      <c r="C13" s="90">
        <f t="shared" si="0"/>
        <v>0.11246904989794686</v>
      </c>
      <c r="E13" s="143">
        <v>589702.97875630576</v>
      </c>
      <c r="F13" s="90">
        <f t="shared" si="1"/>
        <v>0.11762092327085154</v>
      </c>
      <c r="H13" s="144">
        <f>+'COEF DIST PART'!AS13</f>
        <v>6.5443552549845366E-2</v>
      </c>
      <c r="J13" s="100">
        <f t="shared" si="2"/>
        <v>8079556.9454745045</v>
      </c>
      <c r="K13" s="101">
        <f t="shared" si="3"/>
        <v>8449657.4693966601</v>
      </c>
      <c r="L13" s="101">
        <f t="shared" si="4"/>
        <v>4029717.4582981984</v>
      </c>
      <c r="M13" s="101">
        <f t="shared" si="5"/>
        <v>20558931.873169363</v>
      </c>
      <c r="N13" s="145">
        <f t="shared" si="6"/>
        <v>0.10016455637403306</v>
      </c>
    </row>
    <row r="14" spans="1:14">
      <c r="A14" s="7" t="s">
        <v>7</v>
      </c>
      <c r="B14" s="85">
        <v>15470</v>
      </c>
      <c r="C14" s="90">
        <f t="shared" si="0"/>
        <v>3.3244095036422377E-3</v>
      </c>
      <c r="E14" s="143">
        <v>15941.38413674782</v>
      </c>
      <c r="F14" s="90">
        <f t="shared" si="1"/>
        <v>3.1796351518082531E-3</v>
      </c>
      <c r="H14" s="144">
        <f>+'COEF DIST PART'!AS14</f>
        <v>1.2899842656979266E-2</v>
      </c>
      <c r="J14" s="100">
        <f t="shared" si="2"/>
        <v>238819.08773237022</v>
      </c>
      <c r="K14" s="101">
        <f t="shared" si="3"/>
        <v>228418.78097288194</v>
      </c>
      <c r="L14" s="101">
        <f t="shared" si="4"/>
        <v>794313.86498366354</v>
      </c>
      <c r="M14" s="101">
        <f t="shared" si="5"/>
        <v>1261551.7336889156</v>
      </c>
      <c r="N14" s="145">
        <f t="shared" si="6"/>
        <v>6.1463684265014515E-3</v>
      </c>
    </row>
    <row r="15" spans="1:14">
      <c r="A15" s="7" t="s">
        <v>8</v>
      </c>
      <c r="B15" s="85">
        <v>3773</v>
      </c>
      <c r="C15" s="90">
        <f t="shared" si="0"/>
        <v>8.1079489704215658E-4</v>
      </c>
      <c r="E15" s="143">
        <v>4036.0723758764971</v>
      </c>
      <c r="F15" s="90">
        <f t="shared" si="1"/>
        <v>8.0502655801362893E-4</v>
      </c>
      <c r="H15" s="144">
        <f>+'COEF DIST PART'!AS15</f>
        <v>1.7480942590924029E-3</v>
      </c>
      <c r="J15" s="100">
        <f t="shared" si="2"/>
        <v>58245.922302148203</v>
      </c>
      <c r="K15" s="101">
        <f t="shared" si="3"/>
        <v>57831.536089193782</v>
      </c>
      <c r="L15" s="101">
        <f t="shared" si="4"/>
        <v>107639.72431432674</v>
      </c>
      <c r="M15" s="101">
        <f t="shared" si="5"/>
        <v>223717.18270566873</v>
      </c>
      <c r="N15" s="145">
        <f t="shared" si="6"/>
        <v>1.0899657869972458E-3</v>
      </c>
    </row>
    <row r="16" spans="1:14">
      <c r="A16" s="7" t="s">
        <v>9</v>
      </c>
      <c r="B16" s="85">
        <v>86445</v>
      </c>
      <c r="C16" s="90">
        <f t="shared" si="0"/>
        <v>1.8576508050572284E-2</v>
      </c>
      <c r="E16" s="143">
        <v>94896.019975197807</v>
      </c>
      <c r="F16" s="90">
        <f t="shared" si="1"/>
        <v>1.892776174838439E-2</v>
      </c>
      <c r="H16" s="144">
        <f>+'COEF DIST PART'!AS16</f>
        <v>1.6500391818212449E-2</v>
      </c>
      <c r="J16" s="100">
        <f t="shared" si="2"/>
        <v>1334500.067163849</v>
      </c>
      <c r="K16" s="101">
        <f t="shared" si="3"/>
        <v>1359733.446981288</v>
      </c>
      <c r="L16" s="101">
        <f t="shared" si="4"/>
        <v>1016019.3691802962</v>
      </c>
      <c r="M16" s="101">
        <f t="shared" si="5"/>
        <v>3710252.8833254329</v>
      </c>
      <c r="N16" s="145">
        <f t="shared" si="6"/>
        <v>1.8076611975098571E-2</v>
      </c>
    </row>
    <row r="17" spans="1:14">
      <c r="A17" s="7" t="s">
        <v>10</v>
      </c>
      <c r="B17" s="85">
        <v>16092</v>
      </c>
      <c r="C17" s="90">
        <f t="shared" si="0"/>
        <v>3.4580735444480213E-3</v>
      </c>
      <c r="E17" s="143">
        <v>20615.765415609992</v>
      </c>
      <c r="F17" s="90">
        <f t="shared" si="1"/>
        <v>4.1119774691207771E-3</v>
      </c>
      <c r="H17" s="144">
        <f>+'COEF DIST PART'!AS17</f>
        <v>2.8609462329740255E-3</v>
      </c>
      <c r="J17" s="100">
        <f t="shared" si="2"/>
        <v>248421.25144080809</v>
      </c>
      <c r="K17" s="101">
        <f t="shared" si="3"/>
        <v>295396.43262226885</v>
      </c>
      <c r="L17" s="101">
        <f t="shared" si="4"/>
        <v>176164.10682300493</v>
      </c>
      <c r="M17" s="101">
        <f t="shared" si="5"/>
        <v>719981.79088608187</v>
      </c>
      <c r="N17" s="145">
        <f t="shared" si="6"/>
        <v>3.5078017246412871E-3</v>
      </c>
    </row>
    <row r="18" spans="1:14">
      <c r="A18" s="7" t="s">
        <v>11</v>
      </c>
      <c r="B18" s="85">
        <v>7855</v>
      </c>
      <c r="C18" s="90">
        <f t="shared" si="0"/>
        <v>1.6879920265746463E-3</v>
      </c>
      <c r="E18" s="143">
        <v>7945.2657007739799</v>
      </c>
      <c r="F18" s="90">
        <f t="shared" si="1"/>
        <v>1.5847460857806828E-3</v>
      </c>
      <c r="H18" s="144">
        <f>+'COEF DIST PART'!AS18</f>
        <v>4.005591419296556E-3</v>
      </c>
      <c r="J18" s="100">
        <f t="shared" si="2"/>
        <v>121262.05133405094</v>
      </c>
      <c r="K18" s="101">
        <f t="shared" si="3"/>
        <v>113845.06453820938</v>
      </c>
      <c r="L18" s="101">
        <f t="shared" si="4"/>
        <v>246646.17130701488</v>
      </c>
      <c r="M18" s="101">
        <f t="shared" si="5"/>
        <v>481753.28717927518</v>
      </c>
      <c r="N18" s="145">
        <f t="shared" si="6"/>
        <v>2.3471357651133323E-3</v>
      </c>
    </row>
    <row r="19" spans="1:14">
      <c r="A19" s="7" t="s">
        <v>12</v>
      </c>
      <c r="B19" s="85">
        <v>10864</v>
      </c>
      <c r="C19" s="90">
        <f t="shared" si="0"/>
        <v>2.3346079410193452E-3</v>
      </c>
      <c r="E19" s="143">
        <v>11208</v>
      </c>
      <c r="F19" s="90">
        <f t="shared" si="1"/>
        <v>2.2355242478171175E-3</v>
      </c>
      <c r="H19" s="144">
        <f>+'COEF DIST PART'!AS19</f>
        <v>9.5505698219373394E-3</v>
      </c>
      <c r="J19" s="100">
        <f t="shared" si="2"/>
        <v>167713.67609078667</v>
      </c>
      <c r="K19" s="101">
        <f t="shared" si="3"/>
        <v>160595.69703502214</v>
      </c>
      <c r="L19" s="101">
        <f t="shared" si="4"/>
        <v>588080.81848618633</v>
      </c>
      <c r="M19" s="101">
        <f t="shared" si="5"/>
        <v>916390.19161199511</v>
      </c>
      <c r="N19" s="145">
        <f t="shared" si="6"/>
        <v>4.4647172126739635E-3</v>
      </c>
    </row>
    <row r="20" spans="1:14">
      <c r="A20" s="7" t="s">
        <v>13</v>
      </c>
      <c r="B20" s="85">
        <v>24526</v>
      </c>
      <c r="C20" s="90">
        <f t="shared" si="0"/>
        <v>5.2704891717084371E-3</v>
      </c>
      <c r="E20" s="143">
        <v>31170.552896958245</v>
      </c>
      <c r="F20" s="90">
        <f t="shared" si="1"/>
        <v>6.2172133136167247E-3</v>
      </c>
      <c r="H20" s="144">
        <f>+'COEF DIST PART'!AS20</f>
        <v>3.9619197628985364E-3</v>
      </c>
      <c r="J20" s="100">
        <f t="shared" si="2"/>
        <v>378621.65130731167</v>
      </c>
      <c r="K20" s="101">
        <f t="shared" si="3"/>
        <v>446632.46515471424</v>
      </c>
      <c r="L20" s="101">
        <f t="shared" si="4"/>
        <v>243957.06857094532</v>
      </c>
      <c r="M20" s="101">
        <f t="shared" si="5"/>
        <v>1069211.1850329712</v>
      </c>
      <c r="N20" s="145">
        <f t="shared" si="6"/>
        <v>5.2092717987333673E-3</v>
      </c>
    </row>
    <row r="21" spans="1:14">
      <c r="A21" s="7" t="s">
        <v>14</v>
      </c>
      <c r="B21" s="85">
        <v>35445</v>
      </c>
      <c r="C21" s="90">
        <f t="shared" si="0"/>
        <v>7.6169162803231489E-3</v>
      </c>
      <c r="E21" s="143">
        <v>36741.136272347969</v>
      </c>
      <c r="F21" s="90">
        <f t="shared" si="1"/>
        <v>7.3283102274435139E-3</v>
      </c>
      <c r="H21" s="144">
        <f>+'COEF DIST PART'!AS21</f>
        <v>2.8901645766606601E-2</v>
      </c>
      <c r="J21" s="100">
        <f t="shared" si="2"/>
        <v>547184.39332087024</v>
      </c>
      <c r="K21" s="101">
        <f t="shared" si="3"/>
        <v>526451.49799397367</v>
      </c>
      <c r="L21" s="101">
        <f t="shared" si="4"/>
        <v>1779632.400465094</v>
      </c>
      <c r="M21" s="101">
        <f t="shared" si="5"/>
        <v>2853268.2917799382</v>
      </c>
      <c r="N21" s="145">
        <f t="shared" si="6"/>
        <v>1.3901323007700314E-2</v>
      </c>
    </row>
    <row r="22" spans="1:14">
      <c r="A22" s="7" t="s">
        <v>15</v>
      </c>
      <c r="B22" s="85">
        <v>1716</v>
      </c>
      <c r="C22" s="90">
        <f t="shared" si="0"/>
        <v>3.6875802897544147E-4</v>
      </c>
      <c r="E22" s="143">
        <v>1782.7078975350851</v>
      </c>
      <c r="F22" s="90">
        <f t="shared" si="1"/>
        <v>3.5557519019582047E-4</v>
      </c>
      <c r="H22" s="144">
        <f>+'COEF DIST PART'!AS22</f>
        <v>3.6344909853133762E-3</v>
      </c>
      <c r="J22" s="100">
        <f t="shared" si="2"/>
        <v>26490.856790481401</v>
      </c>
      <c r="K22" s="101">
        <f t="shared" si="3"/>
        <v>25543.827392441628</v>
      </c>
      <c r="L22" s="101">
        <f t="shared" si="4"/>
        <v>223795.48794191092</v>
      </c>
      <c r="M22" s="101">
        <f t="shared" si="5"/>
        <v>275830.17212483392</v>
      </c>
      <c r="N22" s="145">
        <f t="shared" si="6"/>
        <v>1.3438639223039546E-3</v>
      </c>
    </row>
    <row r="23" spans="1:14">
      <c r="A23" s="7" t="s">
        <v>16</v>
      </c>
      <c r="B23" s="85">
        <v>3345</v>
      </c>
      <c r="C23" s="90">
        <f t="shared" si="0"/>
        <v>7.1882028375457561E-4</v>
      </c>
      <c r="E23" s="143">
        <v>3515.7191729586666</v>
      </c>
      <c r="F23" s="90">
        <f t="shared" si="1"/>
        <v>7.0123799604431133E-4</v>
      </c>
      <c r="H23" s="144">
        <f>+'COEF DIST PART'!AS23</f>
        <v>1.5845405461226082E-3</v>
      </c>
      <c r="J23" s="100">
        <f t="shared" si="2"/>
        <v>51638.645666760072</v>
      </c>
      <c r="K23" s="101">
        <f t="shared" si="3"/>
        <v>50375.568447598911</v>
      </c>
      <c r="L23" s="101">
        <f t="shared" si="4"/>
        <v>97568.827688996287</v>
      </c>
      <c r="M23" s="101">
        <f t="shared" si="5"/>
        <v>199583.04180335527</v>
      </c>
      <c r="N23" s="145">
        <f t="shared" si="6"/>
        <v>9.7238256176639299E-4</v>
      </c>
    </row>
    <row r="24" spans="1:14">
      <c r="A24" s="7" t="s">
        <v>17</v>
      </c>
      <c r="B24" s="85">
        <v>39991</v>
      </c>
      <c r="C24" s="90">
        <f t="shared" si="0"/>
        <v>8.5938242055692785E-3</v>
      </c>
      <c r="E24" s="143">
        <v>41120.722164492887</v>
      </c>
      <c r="F24" s="90">
        <f t="shared" si="1"/>
        <v>8.2018532732400628E-3</v>
      </c>
      <c r="H24" s="144">
        <f>+'COEF DIST PART'!AS24</f>
        <v>2.2944421378100033E-2</v>
      </c>
      <c r="J24" s="100">
        <f t="shared" si="2"/>
        <v>617363.55122852081</v>
      </c>
      <c r="K24" s="101">
        <f t="shared" si="3"/>
        <v>589205.12478499452</v>
      </c>
      <c r="L24" s="101">
        <f t="shared" si="4"/>
        <v>1412813.5132556856</v>
      </c>
      <c r="M24" s="101">
        <f t="shared" si="5"/>
        <v>2619382.1892692009</v>
      </c>
      <c r="N24" s="145">
        <f t="shared" si="6"/>
        <v>1.2761813531013281E-2</v>
      </c>
    </row>
    <row r="25" spans="1:14">
      <c r="A25" s="7" t="s">
        <v>18</v>
      </c>
      <c r="B25" s="85">
        <v>143668</v>
      </c>
      <c r="C25" s="90">
        <f t="shared" si="0"/>
        <v>3.0873384910748092E-2</v>
      </c>
      <c r="E25" s="143">
        <v>182081.4206190852</v>
      </c>
      <c r="F25" s="90">
        <f t="shared" si="1"/>
        <v>3.6317579485274143E-2</v>
      </c>
      <c r="H25" s="144">
        <f>+'COEF DIST PART'!AS25</f>
        <v>2.3290268515792821E-2</v>
      </c>
      <c r="J25" s="100">
        <f t="shared" si="2"/>
        <v>2217883.690777903</v>
      </c>
      <c r="K25" s="101">
        <f t="shared" si="3"/>
        <v>2608983.9990586219</v>
      </c>
      <c r="L25" s="101">
        <f t="shared" si="4"/>
        <v>1434109.2130513468</v>
      </c>
      <c r="M25" s="101">
        <f t="shared" si="5"/>
        <v>6260976.9028878715</v>
      </c>
      <c r="N25" s="145">
        <f t="shared" si="6"/>
        <v>3.0503918093345628E-2</v>
      </c>
    </row>
    <row r="26" spans="1:14">
      <c r="A26" s="7" t="s">
        <v>19</v>
      </c>
      <c r="B26" s="85">
        <v>5527</v>
      </c>
      <c r="C26" s="90">
        <f t="shared" si="0"/>
        <v>1.1877188963562151E-3</v>
      </c>
      <c r="E26" s="143">
        <v>5672.9498032173624</v>
      </c>
      <c r="F26" s="90">
        <f t="shared" si="1"/>
        <v>1.1315147075072946E-3</v>
      </c>
      <c r="H26" s="144">
        <f>+'COEF DIST PART'!AS26</f>
        <v>3.7880553956394277E-3</v>
      </c>
      <c r="J26" s="100">
        <f t="shared" si="2"/>
        <v>85323.406457453792</v>
      </c>
      <c r="K26" s="101">
        <f t="shared" si="3"/>
        <v>81285.807270912192</v>
      </c>
      <c r="L26" s="101">
        <f t="shared" si="4"/>
        <v>233251.28856937273</v>
      </c>
      <c r="M26" s="101">
        <f t="shared" si="5"/>
        <v>399860.50229773868</v>
      </c>
      <c r="N26" s="145">
        <f t="shared" si="6"/>
        <v>1.9481483800440568E-3</v>
      </c>
    </row>
    <row r="27" spans="1:14">
      <c r="A27" s="7" t="s">
        <v>20</v>
      </c>
      <c r="B27" s="85">
        <v>357937</v>
      </c>
      <c r="C27" s="90">
        <f t="shared" si="0"/>
        <v>7.6918498028777746E-2</v>
      </c>
      <c r="E27" s="143">
        <v>396691.74150375114</v>
      </c>
      <c r="F27" s="90">
        <f t="shared" si="1"/>
        <v>7.9123305410460004E-2</v>
      </c>
      <c r="H27" s="144">
        <f>+'COEF DIST PART'!AS27</f>
        <v>5.7547613245002655E-2</v>
      </c>
      <c r="J27" s="100">
        <f t="shared" si="2"/>
        <v>5525674.7127124369</v>
      </c>
      <c r="K27" s="101">
        <f t="shared" si="3"/>
        <v>5684063.7700599339</v>
      </c>
      <c r="L27" s="101">
        <f t="shared" si="4"/>
        <v>3543521.2903540302</v>
      </c>
      <c r="M27" s="101">
        <f t="shared" si="5"/>
        <v>14753259.773126401</v>
      </c>
      <c r="N27" s="145">
        <f t="shared" si="6"/>
        <v>7.1878915177234021E-2</v>
      </c>
    </row>
    <row r="28" spans="1:14">
      <c r="A28" s="7" t="s">
        <v>21</v>
      </c>
      <c r="B28" s="85">
        <v>14437</v>
      </c>
      <c r="C28" s="90">
        <f t="shared" si="0"/>
        <v>3.1024240468056226E-3</v>
      </c>
      <c r="E28" s="143">
        <v>14830.57339713669</v>
      </c>
      <c r="F28" s="90">
        <f t="shared" si="1"/>
        <v>2.9580751640194995E-3</v>
      </c>
      <c r="H28" s="144">
        <f>+'COEF DIST PART'!AS28</f>
        <v>8.2670282247275743E-3</v>
      </c>
      <c r="J28" s="100">
        <f t="shared" si="2"/>
        <v>222872.0859464918</v>
      </c>
      <c r="K28" s="101">
        <f t="shared" si="3"/>
        <v>212502.34405266083</v>
      </c>
      <c r="L28" s="101">
        <f t="shared" si="4"/>
        <v>509046.14232326514</v>
      </c>
      <c r="M28" s="101">
        <f t="shared" si="5"/>
        <v>944420.57232241775</v>
      </c>
      <c r="N28" s="145">
        <f t="shared" si="6"/>
        <v>4.6012831912070652E-3</v>
      </c>
    </row>
    <row r="29" spans="1:14">
      <c r="A29" s="7" t="s">
        <v>22</v>
      </c>
      <c r="B29" s="85">
        <v>1277</v>
      </c>
      <c r="C29" s="90">
        <f t="shared" si="0"/>
        <v>2.7441958216878717E-4</v>
      </c>
      <c r="E29" s="143">
        <v>1226.0103761586849</v>
      </c>
      <c r="F29" s="90">
        <f t="shared" si="1"/>
        <v>2.4453746645058223E-4</v>
      </c>
      <c r="H29" s="144">
        <f>+'COEF DIST PART'!AS29</f>
        <v>7.6850620643782329E-4</v>
      </c>
      <c r="J29" s="100">
        <f t="shared" si="2"/>
        <v>19713.766970538898</v>
      </c>
      <c r="K29" s="101">
        <f t="shared" si="3"/>
        <v>17567.094123070459</v>
      </c>
      <c r="L29" s="101">
        <f t="shared" si="4"/>
        <v>47321.130290631409</v>
      </c>
      <c r="M29" s="101">
        <f t="shared" si="5"/>
        <v>84601.99138424077</v>
      </c>
      <c r="N29" s="145">
        <f t="shared" si="6"/>
        <v>4.1218682894812633E-4</v>
      </c>
    </row>
    <row r="30" spans="1:14">
      <c r="A30" s="7" t="s">
        <v>23</v>
      </c>
      <c r="B30" s="85">
        <v>5942</v>
      </c>
      <c r="C30" s="90">
        <f t="shared" si="0"/>
        <v>1.2768998882121639E-3</v>
      </c>
      <c r="E30" s="143">
        <v>6130.6523271330461</v>
      </c>
      <c r="F30" s="90">
        <f t="shared" si="1"/>
        <v>1.2228070960244794E-3</v>
      </c>
      <c r="H30" s="144">
        <f>+'COEF DIST PART'!AS30</f>
        <v>6.3663399574345417E-3</v>
      </c>
      <c r="J30" s="100">
        <f t="shared" si="2"/>
        <v>91729.994783823131</v>
      </c>
      <c r="K30" s="101">
        <f t="shared" si="3"/>
        <v>87844.074210859399</v>
      </c>
      <c r="L30" s="101">
        <f t="shared" si="4"/>
        <v>392010.3703477204</v>
      </c>
      <c r="M30" s="101">
        <f t="shared" si="5"/>
        <v>571584.43934240285</v>
      </c>
      <c r="N30" s="145">
        <f t="shared" si="6"/>
        <v>2.7847994317131879E-3</v>
      </c>
    </row>
    <row r="31" spans="1:14">
      <c r="A31" s="7" t="s">
        <v>24</v>
      </c>
      <c r="B31" s="85">
        <v>55213</v>
      </c>
      <c r="C31" s="90">
        <f t="shared" si="0"/>
        <v>1.1864940008054225E-2</v>
      </c>
      <c r="E31" s="143">
        <v>72555.24513941948</v>
      </c>
      <c r="F31" s="90">
        <f t="shared" si="1"/>
        <v>1.4471717506735126E-2</v>
      </c>
      <c r="H31" s="144">
        <f>+'COEF DIST PART'!AS31</f>
        <v>6.226900978613557E-3</v>
      </c>
      <c r="J31" s="100">
        <f t="shared" si="2"/>
        <v>852354.12352730159</v>
      </c>
      <c r="K31" s="101">
        <f t="shared" si="3"/>
        <v>1039619.929221268</v>
      </c>
      <c r="L31" s="101">
        <f t="shared" si="4"/>
        <v>383424.34979368304</v>
      </c>
      <c r="M31" s="101">
        <f t="shared" si="5"/>
        <v>2275398.402542253</v>
      </c>
      <c r="N31" s="145">
        <f t="shared" si="6"/>
        <v>1.1085900423760342E-2</v>
      </c>
    </row>
    <row r="32" spans="1:14">
      <c r="A32" s="7" t="s">
        <v>25</v>
      </c>
      <c r="B32" s="85">
        <v>678006</v>
      </c>
      <c r="C32" s="90">
        <f t="shared" si="0"/>
        <v>0.14569939172116736</v>
      </c>
      <c r="E32" s="143">
        <v>695507.14550914976</v>
      </c>
      <c r="F32" s="90">
        <f t="shared" si="1"/>
        <v>0.13872440117021526</v>
      </c>
      <c r="H32" s="144">
        <f>+'COEF DIST PART'!AS32</f>
        <v>9.3067431402146752E-2</v>
      </c>
      <c r="J32" s="100">
        <f t="shared" si="2"/>
        <v>10466759.818815345</v>
      </c>
      <c r="K32" s="101">
        <f t="shared" si="3"/>
        <v>9965690.1165132467</v>
      </c>
      <c r="L32" s="101">
        <f t="shared" si="4"/>
        <v>5730670.7614100464</v>
      </c>
      <c r="M32" s="101">
        <f t="shared" si="5"/>
        <v>26163120.696738638</v>
      </c>
      <c r="N32" s="145">
        <f t="shared" si="6"/>
        <v>0.12746855693262796</v>
      </c>
    </row>
    <row r="33" spans="1:14">
      <c r="A33" s="7" t="s">
        <v>26</v>
      </c>
      <c r="B33" s="85">
        <v>2030</v>
      </c>
      <c r="C33" s="90">
        <f t="shared" si="0"/>
        <v>4.3623473124717146E-4</v>
      </c>
      <c r="E33" s="143">
        <v>2102.4927672907047</v>
      </c>
      <c r="F33" s="90">
        <f t="shared" si="1"/>
        <v>4.1935881175396883E-4</v>
      </c>
      <c r="H33" s="144">
        <f>+'COEF DIST PART'!AS33</f>
        <v>1.7585897736090074E-3</v>
      </c>
      <c r="J33" s="100">
        <f t="shared" si="2"/>
        <v>31338.251331396994</v>
      </c>
      <c r="K33" s="101">
        <f t="shared" si="3"/>
        <v>30125.918225744408</v>
      </c>
      <c r="L33" s="101">
        <f t="shared" si="4"/>
        <v>108285.9905458118</v>
      </c>
      <c r="M33" s="101">
        <f t="shared" si="5"/>
        <v>169750.1601029532</v>
      </c>
      <c r="N33" s="145">
        <f t="shared" si="6"/>
        <v>8.2703467213310138E-4</v>
      </c>
    </row>
    <row r="34" spans="1:14">
      <c r="A34" s="7" t="s">
        <v>27</v>
      </c>
      <c r="B34" s="85">
        <v>16604</v>
      </c>
      <c r="C34" s="90">
        <f t="shared" si="0"/>
        <v>3.5680992500630713E-3</v>
      </c>
      <c r="E34" s="143">
        <v>17587.949544106585</v>
      </c>
      <c r="F34" s="90">
        <f t="shared" si="1"/>
        <v>3.5080556455419601E-3</v>
      </c>
      <c r="H34" s="144">
        <f>+'COEF DIST PART'!AS34</f>
        <v>4.2484637578891369E-3</v>
      </c>
      <c r="J34" s="100">
        <f t="shared" si="2"/>
        <v>256325.28330370231</v>
      </c>
      <c r="K34" s="101">
        <f t="shared" si="3"/>
        <v>252011.86799184483</v>
      </c>
      <c r="L34" s="101">
        <f t="shared" si="4"/>
        <v>261601.14952612665</v>
      </c>
      <c r="M34" s="101">
        <f t="shared" si="5"/>
        <v>769938.30082167382</v>
      </c>
      <c r="N34" s="145">
        <f t="shared" si="6"/>
        <v>3.7511933408285025E-3</v>
      </c>
    </row>
    <row r="35" spans="1:14">
      <c r="A35" s="7" t="s">
        <v>28</v>
      </c>
      <c r="B35" s="85">
        <v>1594</v>
      </c>
      <c r="C35" s="90">
        <f t="shared" si="0"/>
        <v>3.425409663093553E-4</v>
      </c>
      <c r="E35" s="143">
        <v>1705.5911887427751</v>
      </c>
      <c r="F35" s="90">
        <f t="shared" si="1"/>
        <v>3.4019365268537615E-4</v>
      </c>
      <c r="H35" s="144">
        <f>+'COEF DIST PART'!AS35</f>
        <v>2.5215924213229735E-3</v>
      </c>
      <c r="J35" s="100">
        <f t="shared" si="2"/>
        <v>24607.474198151136</v>
      </c>
      <c r="K35" s="101">
        <f t="shared" si="3"/>
        <v>24438.847770604745</v>
      </c>
      <c r="L35" s="101">
        <f t="shared" si="4"/>
        <v>155268.23662542173</v>
      </c>
      <c r="M35" s="101">
        <f t="shared" si="5"/>
        <v>204314.55859417762</v>
      </c>
      <c r="N35" s="145">
        <f t="shared" si="6"/>
        <v>9.9543484304504817E-4</v>
      </c>
    </row>
    <row r="36" spans="1:14">
      <c r="A36" s="7" t="s">
        <v>29</v>
      </c>
      <c r="B36" s="85">
        <v>6914</v>
      </c>
      <c r="C36" s="90">
        <f t="shared" si="0"/>
        <v>1.4857768137157357E-3</v>
      </c>
      <c r="E36" s="143">
        <v>7185.9406571904201</v>
      </c>
      <c r="F36" s="90">
        <f t="shared" si="1"/>
        <v>1.4332927000824463E-3</v>
      </c>
      <c r="H36" s="144">
        <f>+'COEF DIST PART'!AS36</f>
        <v>2.8268583016135772E-3</v>
      </c>
      <c r="J36" s="100">
        <f t="shared" si="2"/>
        <v>106735.30527353636</v>
      </c>
      <c r="K36" s="101">
        <f t="shared" si="3"/>
        <v>102964.94902692725</v>
      </c>
      <c r="L36" s="101">
        <f t="shared" si="4"/>
        <v>174065.12645338266</v>
      </c>
      <c r="M36" s="101">
        <f t="shared" si="5"/>
        <v>383765.38075384626</v>
      </c>
      <c r="N36" s="145">
        <f t="shared" si="6"/>
        <v>1.8697318203134371E-3</v>
      </c>
    </row>
    <row r="37" spans="1:14">
      <c r="A37" s="7" t="s">
        <v>30</v>
      </c>
      <c r="B37" s="85">
        <v>3558</v>
      </c>
      <c r="C37" s="90">
        <f t="shared" si="0"/>
        <v>7.6459269644208675E-4</v>
      </c>
      <c r="E37" s="143">
        <v>3621.9634651034498</v>
      </c>
      <c r="F37" s="90">
        <f t="shared" si="1"/>
        <v>7.2242926043419615E-4</v>
      </c>
      <c r="H37" s="144">
        <f>+'COEF DIST PART'!AS37</f>
        <v>3.3058623063533278E-3</v>
      </c>
      <c r="J37" s="100">
        <f t="shared" si="2"/>
        <v>54926.846422221926</v>
      </c>
      <c r="K37" s="101">
        <f t="shared" si="3"/>
        <v>51897.907504788775</v>
      </c>
      <c r="L37" s="101">
        <f t="shared" si="4"/>
        <v>203560.02282265207</v>
      </c>
      <c r="M37" s="101">
        <f t="shared" si="5"/>
        <v>310384.77674966276</v>
      </c>
      <c r="N37" s="145">
        <f t="shared" si="6"/>
        <v>1.5122163768126976E-3</v>
      </c>
    </row>
    <row r="38" spans="1:14">
      <c r="A38" s="7" t="s">
        <v>31</v>
      </c>
      <c r="B38" s="85">
        <v>256970</v>
      </c>
      <c r="C38" s="90">
        <f t="shared" si="0"/>
        <v>5.5221299945116084E-2</v>
      </c>
      <c r="E38" s="143">
        <v>324376.89247823716</v>
      </c>
      <c r="F38" s="90">
        <f t="shared" si="1"/>
        <v>6.4699536810016514E-2</v>
      </c>
      <c r="H38" s="144">
        <f>+'COEF DIST PART'!AS38</f>
        <v>3.1504476116866867E-2</v>
      </c>
      <c r="J38" s="100">
        <f t="shared" si="2"/>
        <v>3966990.3668123577</v>
      </c>
      <c r="K38" s="101">
        <f t="shared" si="3"/>
        <v>4647888.3966449788</v>
      </c>
      <c r="L38" s="101">
        <f t="shared" si="4"/>
        <v>1939902.9006865402</v>
      </c>
      <c r="M38" s="101">
        <f t="shared" si="5"/>
        <v>10554781.664143875</v>
      </c>
      <c r="N38" s="145">
        <f t="shared" si="6"/>
        <v>5.1423635699356464E-2</v>
      </c>
    </row>
    <row r="39" spans="1:14">
      <c r="A39" s="7" t="s">
        <v>32</v>
      </c>
      <c r="B39" s="85">
        <v>5349</v>
      </c>
      <c r="C39" s="90">
        <f t="shared" si="0"/>
        <v>1.1494677721384829E-3</v>
      </c>
      <c r="E39" s="143">
        <v>5919.6478022652846</v>
      </c>
      <c r="F39" s="90">
        <f t="shared" si="1"/>
        <v>1.1807205746343105E-3</v>
      </c>
      <c r="H39" s="144">
        <f>+'COEF DIST PART'!AS39</f>
        <v>6.2106091963862551E-3</v>
      </c>
      <c r="J39" s="100">
        <f t="shared" si="2"/>
        <v>82575.520380119473</v>
      </c>
      <c r="K39" s="101">
        <f t="shared" si="3"/>
        <v>84820.660689385273</v>
      </c>
      <c r="L39" s="101">
        <f t="shared" si="4"/>
        <v>382421.17565795517</v>
      </c>
      <c r="M39" s="101">
        <f t="shared" si="5"/>
        <v>549817.35672745993</v>
      </c>
      <c r="N39" s="145">
        <f t="shared" si="6"/>
        <v>2.6787486802863545E-3</v>
      </c>
    </row>
    <row r="40" spans="1:14">
      <c r="A40" s="7" t="s">
        <v>33</v>
      </c>
      <c r="B40" s="85">
        <v>78669</v>
      </c>
      <c r="C40" s="90">
        <f t="shared" si="0"/>
        <v>1.6905492646543709E-2</v>
      </c>
      <c r="E40" s="143">
        <v>84226.291649281251</v>
      </c>
      <c r="F40" s="90">
        <f t="shared" si="1"/>
        <v>1.6799600043333748E-2</v>
      </c>
      <c r="H40" s="144">
        <f>+'COEF DIST PART'!AS40</f>
        <v>2.1882897703206124E-2</v>
      </c>
      <c r="J40" s="100">
        <f t="shared" ref="J40:J58" si="7">+C40*J$6</f>
        <v>1214457.5832461428</v>
      </c>
      <c r="K40" s="101">
        <f t="shared" ref="K40:K58" si="8">+F40*K$6</f>
        <v>1206850.4653900238</v>
      </c>
      <c r="L40" s="101">
        <f t="shared" ref="L40:L58" si="9">+H40*L$6</f>
        <v>1347449.6948434934</v>
      </c>
      <c r="M40" s="101">
        <f t="shared" si="5"/>
        <v>3768757.7434796598</v>
      </c>
      <c r="N40" s="145">
        <f t="shared" si="6"/>
        <v>1.8361651752418946E-2</v>
      </c>
    </row>
    <row r="41" spans="1:14">
      <c r="A41" s="7" t="s">
        <v>34</v>
      </c>
      <c r="B41" s="85">
        <v>5488</v>
      </c>
      <c r="C41" s="90">
        <f t="shared" si="0"/>
        <v>1.1793380320613187E-3</v>
      </c>
      <c r="E41" s="143">
        <v>5664.6363967024718</v>
      </c>
      <c r="F41" s="90">
        <f t="shared" si="1"/>
        <v>1.1298565328243897E-3</v>
      </c>
      <c r="H41" s="144">
        <f>+'COEF DIST PART'!AS41</f>
        <v>4.557763048439461E-3</v>
      </c>
      <c r="J41" s="100">
        <f t="shared" si="7"/>
        <v>84721.341530397389</v>
      </c>
      <c r="K41" s="101">
        <f t="shared" si="8"/>
        <v>81166.687239328123</v>
      </c>
      <c r="L41" s="101">
        <f t="shared" si="9"/>
        <v>280646.39848354796</v>
      </c>
      <c r="M41" s="101">
        <f t="shared" si="5"/>
        <v>446534.42725327349</v>
      </c>
      <c r="N41" s="145">
        <f t="shared" si="6"/>
        <v>2.1755470122418368E-3</v>
      </c>
    </row>
    <row r="42" spans="1:14">
      <c r="A42" s="7" t="s">
        <v>35</v>
      </c>
      <c r="B42" s="85">
        <v>862</v>
      </c>
      <c r="C42" s="90">
        <f t="shared" si="0"/>
        <v>1.8523859031283833E-4</v>
      </c>
      <c r="E42" s="143">
        <v>812.79227607172083</v>
      </c>
      <c r="F42" s="90">
        <f t="shared" si="1"/>
        <v>1.6211784810820813E-4</v>
      </c>
      <c r="H42" s="144">
        <f>+'COEF DIST PART'!AS42</f>
        <v>4.2779125295159832E-3</v>
      </c>
      <c r="J42" s="100">
        <f t="shared" si="7"/>
        <v>13307.178644169562</v>
      </c>
      <c r="K42" s="101">
        <f t="shared" si="8"/>
        <v>11646.229668131706</v>
      </c>
      <c r="L42" s="101">
        <f t="shared" si="9"/>
        <v>263414.47145818028</v>
      </c>
      <c r="M42" s="101">
        <f t="shared" si="5"/>
        <v>288367.87977048155</v>
      </c>
      <c r="N42" s="145">
        <f t="shared" si="6"/>
        <v>1.4049485123021615E-3</v>
      </c>
    </row>
    <row r="43" spans="1:14">
      <c r="A43" s="7" t="s">
        <v>36</v>
      </c>
      <c r="B43" s="85">
        <v>7095</v>
      </c>
      <c r="C43" s="90">
        <f t="shared" si="0"/>
        <v>1.5246726198023062E-3</v>
      </c>
      <c r="E43" s="143">
        <v>7208.079975654251</v>
      </c>
      <c r="F43" s="90">
        <f t="shared" si="1"/>
        <v>1.4377085622573247E-3</v>
      </c>
      <c r="H43" s="144">
        <f>+'COEF DIST PART'!AS43</f>
        <v>4.8112485624590209E-3</v>
      </c>
      <c r="J43" s="100">
        <f t="shared" si="7"/>
        <v>109529.50403756733</v>
      </c>
      <c r="K43" s="101">
        <f t="shared" si="8"/>
        <v>103282.17594346714</v>
      </c>
      <c r="L43" s="101">
        <f t="shared" si="9"/>
        <v>296254.88795991463</v>
      </c>
      <c r="M43" s="101">
        <f t="shared" si="5"/>
        <v>509066.56794094911</v>
      </c>
      <c r="N43" s="145">
        <f t="shared" si="6"/>
        <v>2.4802079824585771E-3</v>
      </c>
    </row>
    <row r="44" spans="1:14">
      <c r="A44" s="7" t="s">
        <v>37</v>
      </c>
      <c r="B44" s="85">
        <v>5447</v>
      </c>
      <c r="C44" s="90">
        <f t="shared" si="0"/>
        <v>1.1705273798538634E-3</v>
      </c>
      <c r="E44" s="143">
        <v>5603.3721557103136</v>
      </c>
      <c r="F44" s="90">
        <f t="shared" si="1"/>
        <v>1.1176368953991504E-3</v>
      </c>
      <c r="H44" s="144">
        <f>+'COEF DIST PART'!AS44</f>
        <v>6.8799645438048593E-3</v>
      </c>
      <c r="J44" s="100">
        <f t="shared" si="7"/>
        <v>84088.401478876563</v>
      </c>
      <c r="K44" s="101">
        <f t="shared" si="8"/>
        <v>80288.852345907595</v>
      </c>
      <c r="L44" s="101">
        <f t="shared" si="9"/>
        <v>423637.0452769461</v>
      </c>
      <c r="M44" s="101">
        <f t="shared" si="5"/>
        <v>588014.29910173023</v>
      </c>
      <c r="N44" s="145">
        <f t="shared" si="6"/>
        <v>2.8648468594800131E-3</v>
      </c>
    </row>
    <row r="45" spans="1:14">
      <c r="A45" s="7" t="s">
        <v>38</v>
      </c>
      <c r="B45" s="85">
        <v>59113</v>
      </c>
      <c r="C45" s="90">
        <f t="shared" si="0"/>
        <v>1.2703026437543865E-2</v>
      </c>
      <c r="E45" s="143">
        <v>63137.527622640737</v>
      </c>
      <c r="F45" s="90">
        <f t="shared" si="1"/>
        <v>1.2593279260138866E-2</v>
      </c>
      <c r="H45" s="144">
        <f>+'COEF DIST PART'!AS45</f>
        <v>1.5304534688752276E-2</v>
      </c>
      <c r="J45" s="100">
        <f t="shared" si="7"/>
        <v>912560.61623294116</v>
      </c>
      <c r="K45" s="101">
        <f t="shared" si="8"/>
        <v>904676.59329282236</v>
      </c>
      <c r="L45" s="101">
        <f t="shared" si="9"/>
        <v>942383.90526586946</v>
      </c>
      <c r="M45" s="101">
        <f t="shared" si="5"/>
        <v>2759621.1147916331</v>
      </c>
      <c r="N45" s="145">
        <f t="shared" si="6"/>
        <v>1.344506740081464E-2</v>
      </c>
    </row>
    <row r="46" spans="1:14">
      <c r="A46" s="7" t="s">
        <v>39</v>
      </c>
      <c r="B46" s="85">
        <v>1135550</v>
      </c>
      <c r="C46" s="90">
        <f t="shared" si="0"/>
        <v>0.24402283205306677</v>
      </c>
      <c r="E46" s="143">
        <v>1173608.0373724981</v>
      </c>
      <c r="F46" s="90">
        <f t="shared" si="1"/>
        <v>0.23408540551206972</v>
      </c>
      <c r="H46" s="144">
        <f>+'COEF DIST PART'!AS46</f>
        <v>0.23114288907927766</v>
      </c>
      <c r="J46" s="100">
        <f t="shared" si="7"/>
        <v>17530123.792792048</v>
      </c>
      <c r="K46" s="101">
        <f t="shared" si="8"/>
        <v>16816238.473210264</v>
      </c>
      <c r="L46" s="101">
        <f t="shared" si="9"/>
        <v>14232731.861168653</v>
      </c>
      <c r="M46" s="101">
        <f t="shared" si="5"/>
        <v>48579094.127170965</v>
      </c>
      <c r="N46" s="145">
        <f t="shared" si="6"/>
        <v>0.23668074987158108</v>
      </c>
    </row>
    <row r="47" spans="1:14">
      <c r="A47" s="7" t="s">
        <v>40</v>
      </c>
      <c r="B47" s="85">
        <v>1034</v>
      </c>
      <c r="C47" s="90">
        <f t="shared" si="0"/>
        <v>2.2220035079289422E-4</v>
      </c>
      <c r="E47" s="143">
        <v>1101.7536062726638</v>
      </c>
      <c r="F47" s="90">
        <f t="shared" si="1"/>
        <v>2.1975347090850226E-4</v>
      </c>
      <c r="H47" s="144">
        <f>+'COEF DIST PART'!AS47</f>
        <v>1.5560549784258734E-3</v>
      </c>
      <c r="J47" s="100">
        <f t="shared" si="7"/>
        <v>15962.439348110587</v>
      </c>
      <c r="K47" s="101">
        <f t="shared" si="8"/>
        <v>15786.660274822249</v>
      </c>
      <c r="L47" s="101">
        <f t="shared" si="9"/>
        <v>95814.815490932335</v>
      </c>
      <c r="M47" s="101">
        <f t="shared" si="5"/>
        <v>127563.91511386517</v>
      </c>
      <c r="N47" s="145">
        <f t="shared" si="6"/>
        <v>6.2150033112325076E-4</v>
      </c>
    </row>
    <row r="48" spans="1:14">
      <c r="A48" s="7" t="s">
        <v>41</v>
      </c>
      <c r="B48" s="85">
        <v>20843</v>
      </c>
      <c r="C48" s="90">
        <f t="shared" si="0"/>
        <v>4.4790347307314257E-3</v>
      </c>
      <c r="E48" s="143">
        <v>26696.045454591163</v>
      </c>
      <c r="F48" s="90">
        <f t="shared" si="1"/>
        <v>5.3247374138621064E-3</v>
      </c>
      <c r="H48" s="144">
        <f>+'COEF DIST PART'!AS48</f>
        <v>4.314666931832736E-3</v>
      </c>
      <c r="J48" s="100">
        <f t="shared" si="7"/>
        <v>321765.10960606282</v>
      </c>
      <c r="K48" s="101">
        <f t="shared" si="8"/>
        <v>382518.73910231102</v>
      </c>
      <c r="L48" s="101">
        <f t="shared" si="9"/>
        <v>265677.64102820517</v>
      </c>
      <c r="M48" s="101">
        <f t="shared" si="5"/>
        <v>969961.48973657901</v>
      </c>
      <c r="N48" s="145">
        <f t="shared" si="6"/>
        <v>4.7257203301575576E-3</v>
      </c>
    </row>
    <row r="49" spans="1:14">
      <c r="A49" s="7" t="s">
        <v>42</v>
      </c>
      <c r="B49" s="85">
        <v>5359</v>
      </c>
      <c r="C49" s="90">
        <f t="shared" si="0"/>
        <v>1.1516167117012767E-3</v>
      </c>
      <c r="E49" s="143">
        <v>5113.0352032684077</v>
      </c>
      <c r="F49" s="90">
        <f t="shared" si="1"/>
        <v>1.0198353119958111E-3</v>
      </c>
      <c r="H49" s="144">
        <f>+'COEF DIST PART'!AS49</f>
        <v>2.7764427777752349E-3</v>
      </c>
      <c r="J49" s="100">
        <f t="shared" si="7"/>
        <v>82729.896002441616</v>
      </c>
      <c r="K49" s="101">
        <f t="shared" si="8"/>
        <v>73262.977554737343</v>
      </c>
      <c r="L49" s="101">
        <f t="shared" si="9"/>
        <v>170960.76691504801</v>
      </c>
      <c r="M49" s="101">
        <f t="shared" si="5"/>
        <v>326953.64047222695</v>
      </c>
      <c r="N49" s="145">
        <f t="shared" si="6"/>
        <v>1.5929410416265512E-3</v>
      </c>
    </row>
    <row r="50" spans="1:14">
      <c r="A50" s="7" t="s">
        <v>43</v>
      </c>
      <c r="B50" s="85">
        <v>2628</v>
      </c>
      <c r="C50" s="90">
        <f t="shared" si="0"/>
        <v>5.6474131710224952E-4</v>
      </c>
      <c r="E50" s="143">
        <v>2706.6054479720769</v>
      </c>
      <c r="F50" s="90">
        <f t="shared" si="1"/>
        <v>5.3985386404492239E-4</v>
      </c>
      <c r="H50" s="144">
        <f>+'COEF DIST PART'!AS50</f>
        <v>3.8282635971820626E-3</v>
      </c>
      <c r="J50" s="100">
        <f t="shared" si="7"/>
        <v>40569.913546261727</v>
      </c>
      <c r="K50" s="101">
        <f t="shared" si="8"/>
        <v>38782.047512122059</v>
      </c>
      <c r="L50" s="101">
        <f t="shared" si="9"/>
        <v>235727.12744746113</v>
      </c>
      <c r="M50" s="101">
        <f t="shared" si="5"/>
        <v>315079.08850584493</v>
      </c>
      <c r="N50" s="145">
        <f t="shared" si="6"/>
        <v>1.5350873925561292E-3</v>
      </c>
    </row>
    <row r="51" spans="1:14">
      <c r="A51" s="7" t="s">
        <v>44</v>
      </c>
      <c r="B51" s="85">
        <v>34671</v>
      </c>
      <c r="C51" s="90">
        <f t="shared" si="0"/>
        <v>7.4505883581628971E-3</v>
      </c>
      <c r="E51" s="143">
        <v>36790.819509686633</v>
      </c>
      <c r="F51" s="90">
        <f t="shared" si="1"/>
        <v>7.3382199420920363E-3</v>
      </c>
      <c r="H51" s="144">
        <f>+'COEF DIST PART'!AS51</f>
        <v>7.6963910292041455E-3</v>
      </c>
      <c r="J51" s="100">
        <f t="shared" si="7"/>
        <v>535235.7201531356</v>
      </c>
      <c r="K51" s="101">
        <f t="shared" si="8"/>
        <v>527163.39254530834</v>
      </c>
      <c r="L51" s="101">
        <f t="shared" si="9"/>
        <v>473908.88923169969</v>
      </c>
      <c r="M51" s="101">
        <f t="shared" si="5"/>
        <v>1536308.0019301437</v>
      </c>
      <c r="N51" s="145">
        <f t="shared" si="6"/>
        <v>7.4850002138504715E-3</v>
      </c>
    </row>
    <row r="52" spans="1:14">
      <c r="A52" s="7" t="s">
        <v>45</v>
      </c>
      <c r="B52" s="85">
        <v>32660</v>
      </c>
      <c r="C52" s="90">
        <f t="shared" si="0"/>
        <v>7.018436612085034E-3</v>
      </c>
      <c r="E52" s="143">
        <v>35716.659649339097</v>
      </c>
      <c r="F52" s="90">
        <f t="shared" si="1"/>
        <v>7.1239702620564576E-3</v>
      </c>
      <c r="H52" s="144">
        <f>+'COEF DIST PART'!AS52</f>
        <v>9.5531051223345809E-3</v>
      </c>
      <c r="J52" s="100">
        <f t="shared" si="7"/>
        <v>504190.78250415064</v>
      </c>
      <c r="K52" s="101">
        <f t="shared" si="8"/>
        <v>511772.11386048014</v>
      </c>
      <c r="L52" s="101">
        <f t="shared" si="9"/>
        <v>588236.93079786154</v>
      </c>
      <c r="M52" s="101">
        <f t="shared" si="5"/>
        <v>1604199.8271624923</v>
      </c>
      <c r="N52" s="145">
        <f t="shared" si="6"/>
        <v>7.8157739426498972E-3</v>
      </c>
    </row>
    <row r="53" spans="1:14">
      <c r="A53" s="7" t="s">
        <v>46</v>
      </c>
      <c r="B53" s="85">
        <v>443273</v>
      </c>
      <c r="C53" s="90">
        <f t="shared" si="0"/>
        <v>9.5256688681836177E-2</v>
      </c>
      <c r="E53" s="143">
        <v>447258.94979590888</v>
      </c>
      <c r="F53" s="90">
        <f t="shared" si="1"/>
        <v>8.9209335057278114E-2</v>
      </c>
      <c r="H53" s="144">
        <f>+'COEF DIST PART'!AS53</f>
        <v>8.2119044702485738E-2</v>
      </c>
      <c r="J53" s="100">
        <f t="shared" si="7"/>
        <v>6843054.523360759</v>
      </c>
      <c r="K53" s="101">
        <f t="shared" si="8"/>
        <v>6408624.4466118803</v>
      </c>
      <c r="L53" s="101">
        <f t="shared" si="9"/>
        <v>5056518.7127384767</v>
      </c>
      <c r="M53" s="101">
        <f t="shared" si="5"/>
        <v>18308197.682711117</v>
      </c>
      <c r="N53" s="145">
        <f t="shared" si="6"/>
        <v>8.9198821719435731E-2</v>
      </c>
    </row>
    <row r="54" spans="1:14">
      <c r="A54" s="7" t="s">
        <v>47</v>
      </c>
      <c r="B54" s="85">
        <v>122659</v>
      </c>
      <c r="C54" s="90">
        <f t="shared" si="0"/>
        <v>2.6358677783274286E-2</v>
      </c>
      <c r="E54" s="143">
        <v>129342.42162656234</v>
      </c>
      <c r="F54" s="90">
        <f t="shared" si="1"/>
        <v>2.579836900584986E-2</v>
      </c>
      <c r="H54" s="144">
        <f>+'COEF DIST PART'!AS54</f>
        <v>9.2082416956829796E-2</v>
      </c>
      <c r="J54" s="100">
        <f t="shared" si="7"/>
        <v>1893555.9458412926</v>
      </c>
      <c r="K54" s="101">
        <f t="shared" si="8"/>
        <v>1853304.4572908189</v>
      </c>
      <c r="L54" s="101">
        <f t="shared" si="9"/>
        <v>5670018.0347117763</v>
      </c>
      <c r="M54" s="101">
        <f t="shared" si="5"/>
        <v>9416878.437843889</v>
      </c>
      <c r="N54" s="145">
        <f t="shared" si="6"/>
        <v>4.5879691463242403E-2</v>
      </c>
    </row>
    <row r="55" spans="1:14">
      <c r="A55" s="7" t="s">
        <v>48</v>
      </c>
      <c r="B55" s="85">
        <v>268955</v>
      </c>
      <c r="C55" s="90">
        <f t="shared" si="0"/>
        <v>5.7796804011124629E-2</v>
      </c>
      <c r="E55" s="143">
        <v>282272.28420908435</v>
      </c>
      <c r="F55" s="90">
        <f t="shared" si="1"/>
        <v>5.6301439671318065E-2</v>
      </c>
      <c r="H55" s="144">
        <f>+'COEF DIST PART'!AS55</f>
        <v>4.1735638761370916E-2</v>
      </c>
      <c r="J55" s="100">
        <f t="shared" si="7"/>
        <v>4152009.5501654577</v>
      </c>
      <c r="K55" s="101">
        <f t="shared" si="8"/>
        <v>4044585.4957374884</v>
      </c>
      <c r="L55" s="101">
        <f t="shared" si="9"/>
        <v>2569891.5415972597</v>
      </c>
      <c r="M55" s="101">
        <f t="shared" si="5"/>
        <v>10766486.587500205</v>
      </c>
      <c r="N55" s="145">
        <f t="shared" si="6"/>
        <v>5.2455076917266225E-2</v>
      </c>
    </row>
    <row r="56" spans="1:14">
      <c r="A56" s="7" t="s">
        <v>49</v>
      </c>
      <c r="B56" s="85">
        <v>40469</v>
      </c>
      <c r="C56" s="90">
        <f t="shared" si="0"/>
        <v>8.6965435166708287E-3</v>
      </c>
      <c r="E56" s="143">
        <v>42729.787294817375</v>
      </c>
      <c r="F56" s="90">
        <f t="shared" si="1"/>
        <v>8.5227940401170627E-3</v>
      </c>
      <c r="H56" s="144">
        <f>+'COEF DIST PART'!AS56</f>
        <v>1.0317671991714267E-2</v>
      </c>
      <c r="J56" s="100">
        <f t="shared" si="7"/>
        <v>624742.70597551973</v>
      </c>
      <c r="K56" s="101">
        <f t="shared" si="8"/>
        <v>612260.88283096266</v>
      </c>
      <c r="L56" s="101">
        <f t="shared" si="9"/>
        <v>635315.49456056487</v>
      </c>
      <c r="M56" s="101">
        <f t="shared" si="5"/>
        <v>1872319.0833670474</v>
      </c>
      <c r="N56" s="145">
        <f t="shared" si="6"/>
        <v>9.1220697423900435E-3</v>
      </c>
    </row>
    <row r="57" spans="1:14">
      <c r="A57" s="7" t="s">
        <v>50</v>
      </c>
      <c r="B57" s="85">
        <v>1971</v>
      </c>
      <c r="C57" s="90">
        <f t="shared" si="0"/>
        <v>4.2355598782668714E-4</v>
      </c>
      <c r="E57" s="143">
        <v>2054.28413116813</v>
      </c>
      <c r="F57" s="90">
        <f t="shared" si="1"/>
        <v>4.0974321798110941E-4</v>
      </c>
      <c r="H57" s="144">
        <f>+'COEF DIST PART'!AS57</f>
        <v>2.5964573739464328E-3</v>
      </c>
      <c r="J57" s="100">
        <f t="shared" si="7"/>
        <v>30427.435159696292</v>
      </c>
      <c r="K57" s="101">
        <f t="shared" si="8"/>
        <v>29435.152743837494</v>
      </c>
      <c r="L57" s="101">
        <f t="shared" si="9"/>
        <v>159878.08121433892</v>
      </c>
      <c r="M57" s="101">
        <f t="shared" si="5"/>
        <v>219740.66911787272</v>
      </c>
      <c r="N57" s="145">
        <f t="shared" si="6"/>
        <v>1.0705919342166588E-3</v>
      </c>
    </row>
    <row r="58" spans="1:14">
      <c r="A58" s="7" t="s">
        <v>51</v>
      </c>
      <c r="B58" s="85">
        <v>4113</v>
      </c>
      <c r="C58" s="90">
        <f t="shared" si="0"/>
        <v>8.8385884217715089E-4</v>
      </c>
      <c r="E58" s="143">
        <v>4188.9056272856196</v>
      </c>
      <c r="F58" s="90">
        <f t="shared" si="1"/>
        <v>8.3551035881643254E-4</v>
      </c>
      <c r="H58" s="144">
        <f>+'COEF DIST PART'!AS58</f>
        <v>1.7964994382429283E-3</v>
      </c>
      <c r="J58" s="100">
        <f t="shared" si="7"/>
        <v>63494.6934611014</v>
      </c>
      <c r="K58" s="101">
        <f t="shared" si="8"/>
        <v>60021.43281833161</v>
      </c>
      <c r="L58" s="101">
        <f t="shared" si="9"/>
        <v>110620.29593513471</v>
      </c>
      <c r="M58" s="101">
        <f t="shared" si="5"/>
        <v>234136.42221456772</v>
      </c>
      <c r="N58" s="145">
        <f t="shared" si="6"/>
        <v>1.1407290518206327E-3</v>
      </c>
    </row>
    <row r="59" spans="1:14" ht="13.5" thickBot="1">
      <c r="A59" s="11" t="s">
        <v>52</v>
      </c>
      <c r="B59" s="103">
        <f>SUM(B8:B58)</f>
        <v>4653458</v>
      </c>
      <c r="C59" s="108">
        <f>SUM(C8:C58)</f>
        <v>0.99999999999999989</v>
      </c>
      <c r="E59" s="146">
        <f>SUM(E8:E58)</f>
        <v>5013589.099265676</v>
      </c>
      <c r="F59" s="108">
        <f t="shared" si="1"/>
        <v>1</v>
      </c>
      <c r="H59" s="147">
        <f>SUM(H8:H58)</f>
        <v>0.99999999999999956</v>
      </c>
      <c r="J59" s="121">
        <f>SUM(J8:J58)</f>
        <v>71838047.469999999</v>
      </c>
      <c r="K59" s="122">
        <f t="shared" ref="K59:L59" si="10">SUM(K8:K58)</f>
        <v>71838047.469999984</v>
      </c>
      <c r="L59" s="122">
        <f t="shared" si="10"/>
        <v>61575469.259999983</v>
      </c>
      <c r="M59" s="122">
        <f>SUM(M8:M58)</f>
        <v>205251564.19999999</v>
      </c>
      <c r="N59" s="148">
        <f>SUM(N8:N58)</f>
        <v>1</v>
      </c>
    </row>
    <row r="60" spans="1:14" ht="13.5" thickTop="1"/>
    <row r="61" spans="1:14" ht="15.75" customHeight="1">
      <c r="A61" s="55" t="s">
        <v>136</v>
      </c>
    </row>
    <row r="62" spans="1:14">
      <c r="A62" s="55" t="s">
        <v>138</v>
      </c>
    </row>
    <row r="63" spans="1:14">
      <c r="A63" s="55" t="s">
        <v>215</v>
      </c>
    </row>
  </sheetData>
  <mergeCells count="3">
    <mergeCell ref="A1:N1"/>
    <mergeCell ref="B3:C3"/>
    <mergeCell ref="E3:F3"/>
  </mergeCells>
  <printOptions horizontalCentered="1"/>
  <pageMargins left="0.39" right="0.39" top="0.17" bottom="0.17" header="0.17" footer="0.17"/>
  <pageSetup scale="65" orientation="landscape" r:id="rId1"/>
  <headerFooter alignWithMargins="0">
    <oddFooter>&amp;R&amp;8&amp;D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P88"/>
  <sheetViews>
    <sheetView zoomScaleNormal="100" workbookViewId="0">
      <selection sqref="A1:AP1"/>
    </sheetView>
  </sheetViews>
  <sheetFormatPr baseColWidth="10" defaultColWidth="9.7109375" defaultRowHeight="12.75"/>
  <cols>
    <col min="1" max="1" width="30.28515625" style="55" customWidth="1"/>
    <col min="2" max="2" width="15" style="55" customWidth="1"/>
    <col min="3" max="3" width="16.140625" style="126" bestFit="1" customWidth="1"/>
    <col min="4" max="4" width="4" style="52" customWidth="1"/>
    <col min="5" max="5" width="13.42578125" style="55" bestFit="1" customWidth="1"/>
    <col min="6" max="6" width="16.140625" style="55" bestFit="1" customWidth="1"/>
    <col min="7" max="7" width="12.140625" style="124" bestFit="1" customWidth="1"/>
    <col min="8" max="8" width="15.5703125" style="55" customWidth="1"/>
    <col min="9" max="9" width="16.140625" style="55" bestFit="1" customWidth="1"/>
    <col min="10" max="10" width="11.5703125" style="124" bestFit="1" customWidth="1"/>
    <col min="11" max="11" width="16.28515625" style="126" customWidth="1"/>
    <col min="12" max="12" width="3.7109375" style="52" customWidth="1"/>
    <col min="13" max="13" width="14" style="55" customWidth="1"/>
    <col min="14" max="14" width="16.140625" style="55" customWidth="1"/>
    <col min="15" max="15" width="14.140625" style="55" customWidth="1"/>
    <col min="16" max="16" width="15.5703125" style="55" customWidth="1"/>
    <col min="17" max="17" width="14.5703125" style="55" customWidth="1"/>
    <col min="18" max="18" width="17.42578125" style="55" customWidth="1"/>
    <col min="19" max="19" width="14.28515625" style="55" customWidth="1"/>
    <col min="20" max="20" width="15" style="55" customWidth="1"/>
    <col min="21" max="21" width="20.7109375" style="55" bestFit="1" customWidth="1"/>
    <col min="22" max="23" width="13.140625" style="55" customWidth="1"/>
    <col min="24" max="24" width="12.42578125" style="55" customWidth="1"/>
    <col min="25" max="25" width="14.42578125" style="55" customWidth="1"/>
    <col min="26" max="26" width="14.28515625" style="55" customWidth="1"/>
    <col min="27" max="27" width="15.42578125" style="55" customWidth="1"/>
    <col min="28" max="28" width="13.5703125" style="55" customWidth="1"/>
    <col min="29" max="29" width="14.140625" style="55" customWidth="1"/>
    <col min="30" max="30" width="17.7109375" style="55" customWidth="1"/>
    <col min="31" max="31" width="12.42578125" style="55" customWidth="1"/>
    <col min="32" max="32" width="18.42578125" style="55" bestFit="1" customWidth="1"/>
    <col min="33" max="33" width="12.5703125" style="199" customWidth="1"/>
    <col min="34" max="34" width="15.7109375" style="55" customWidth="1"/>
    <col min="35" max="35" width="11.85546875" style="55" customWidth="1"/>
    <col min="36" max="36" width="16.42578125" style="126" customWidth="1"/>
    <col min="37" max="37" width="3.7109375" style="52" customWidth="1"/>
    <col min="38" max="40" width="18.42578125" style="55" customWidth="1"/>
    <col min="41" max="41" width="21.140625" style="55" customWidth="1"/>
    <col min="42" max="42" width="15.42578125" style="126" customWidth="1"/>
    <col min="43" max="16384" width="9.7109375" style="55"/>
  </cols>
  <sheetData>
    <row r="1" spans="1:42" ht="33.75" customHeight="1">
      <c r="A1" s="252" t="s">
        <v>229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</row>
    <row r="2" spans="1:42" ht="15.75" customHeight="1"/>
    <row r="3" spans="1:42" ht="18.75" thickBot="1">
      <c r="B3" s="262" t="s">
        <v>168</v>
      </c>
      <c r="C3" s="262"/>
      <c r="E3" s="254" t="s">
        <v>81</v>
      </c>
      <c r="F3" s="253"/>
      <c r="G3" s="253"/>
      <c r="H3" s="253"/>
      <c r="I3" s="253"/>
      <c r="J3" s="253"/>
      <c r="K3" s="253"/>
      <c r="M3" s="254" t="s">
        <v>169</v>
      </c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</row>
    <row r="4" spans="1:42" ht="64.5" thickBot="1">
      <c r="A4" s="48" t="s">
        <v>0</v>
      </c>
      <c r="B4" s="131" t="s">
        <v>218</v>
      </c>
      <c r="C4" s="149" t="s">
        <v>165</v>
      </c>
      <c r="D4" s="150"/>
      <c r="E4" s="48" t="s">
        <v>139</v>
      </c>
      <c r="F4" s="49" t="s">
        <v>140</v>
      </c>
      <c r="G4" s="50">
        <v>0.85</v>
      </c>
      <c r="H4" s="48" t="s">
        <v>59</v>
      </c>
      <c r="I4" s="49" t="s">
        <v>166</v>
      </c>
      <c r="J4" s="50">
        <v>0.15</v>
      </c>
      <c r="K4" s="51" t="s">
        <v>167</v>
      </c>
      <c r="M4" s="48" t="s">
        <v>123</v>
      </c>
      <c r="N4" s="48" t="s">
        <v>124</v>
      </c>
      <c r="O4" s="48" t="s">
        <v>143</v>
      </c>
      <c r="P4" s="48" t="s">
        <v>144</v>
      </c>
      <c r="Q4" s="48" t="s">
        <v>125</v>
      </c>
      <c r="R4" s="48" t="s">
        <v>151</v>
      </c>
      <c r="S4" s="48" t="s">
        <v>152</v>
      </c>
      <c r="T4" s="48" t="s">
        <v>147</v>
      </c>
      <c r="U4" s="48" t="s">
        <v>64</v>
      </c>
      <c r="V4" s="48" t="s">
        <v>134</v>
      </c>
      <c r="W4" s="48" t="s">
        <v>135</v>
      </c>
      <c r="X4" s="48" t="s">
        <v>154</v>
      </c>
      <c r="Y4" s="48" t="s">
        <v>153</v>
      </c>
      <c r="Z4" s="48" t="s">
        <v>125</v>
      </c>
      <c r="AA4" s="48" t="s">
        <v>146</v>
      </c>
      <c r="AB4" s="48" t="s">
        <v>149</v>
      </c>
      <c r="AC4" s="48" t="s">
        <v>148</v>
      </c>
      <c r="AD4" s="48" t="s">
        <v>63</v>
      </c>
      <c r="AE4" s="50">
        <v>0.85</v>
      </c>
      <c r="AF4" s="48" t="s">
        <v>150</v>
      </c>
      <c r="AG4" s="200" t="s">
        <v>65</v>
      </c>
      <c r="AH4" s="54" t="s">
        <v>67</v>
      </c>
      <c r="AI4" s="50">
        <v>0.15</v>
      </c>
      <c r="AJ4" s="166" t="s">
        <v>145</v>
      </c>
      <c r="AL4" s="22" t="s">
        <v>171</v>
      </c>
      <c r="AM4" s="22" t="s">
        <v>172</v>
      </c>
      <c r="AN4" s="22" t="s">
        <v>173</v>
      </c>
      <c r="AO4" s="22" t="s">
        <v>104</v>
      </c>
      <c r="AP4" s="132" t="s">
        <v>156</v>
      </c>
    </row>
    <row r="5" spans="1:42">
      <c r="A5" s="175"/>
      <c r="B5" s="194" t="s">
        <v>180</v>
      </c>
      <c r="C5" s="197"/>
      <c r="D5" s="150"/>
      <c r="E5" s="172"/>
      <c r="F5" s="173"/>
      <c r="G5" s="174"/>
      <c r="H5" s="175"/>
      <c r="I5" s="173"/>
      <c r="J5" s="174"/>
      <c r="K5" s="198"/>
      <c r="L5" s="187"/>
      <c r="M5" s="175"/>
      <c r="N5" s="175"/>
      <c r="O5" s="175"/>
      <c r="P5" s="175"/>
      <c r="Q5" s="175"/>
      <c r="R5" s="175"/>
      <c r="S5" s="175"/>
      <c r="T5" s="175"/>
      <c r="U5" s="172"/>
      <c r="V5" s="175"/>
      <c r="W5" s="175"/>
      <c r="X5" s="175"/>
      <c r="Y5" s="175"/>
      <c r="Z5" s="175"/>
      <c r="AA5" s="175"/>
      <c r="AB5" s="175"/>
      <c r="AC5" s="175"/>
      <c r="AD5" s="172"/>
      <c r="AE5" s="174"/>
      <c r="AF5" s="172"/>
      <c r="AG5" s="201"/>
      <c r="AH5" s="177"/>
      <c r="AI5" s="174"/>
      <c r="AJ5" s="178"/>
      <c r="AK5" s="187"/>
      <c r="AL5" s="180" t="s">
        <v>180</v>
      </c>
      <c r="AM5" s="180" t="s">
        <v>180</v>
      </c>
      <c r="AN5" s="180" t="s">
        <v>180</v>
      </c>
      <c r="AO5" s="180" t="s">
        <v>180</v>
      </c>
      <c r="AP5" s="195"/>
    </row>
    <row r="6" spans="1:42" s="58" customFormat="1" ht="22.5">
      <c r="A6" s="133"/>
      <c r="B6" s="134" t="s">
        <v>73</v>
      </c>
      <c r="C6" s="196" t="s">
        <v>120</v>
      </c>
      <c r="D6" s="151"/>
      <c r="E6" s="181" t="s">
        <v>58</v>
      </c>
      <c r="F6" s="151" t="s">
        <v>112</v>
      </c>
      <c r="G6" s="182" t="s">
        <v>115</v>
      </c>
      <c r="H6" s="56" t="s">
        <v>70</v>
      </c>
      <c r="I6" s="151" t="s">
        <v>116</v>
      </c>
      <c r="J6" s="182" t="s">
        <v>117</v>
      </c>
      <c r="K6" s="184" t="s">
        <v>94</v>
      </c>
      <c r="L6" s="57"/>
      <c r="M6" s="56" t="s">
        <v>126</v>
      </c>
      <c r="N6" s="56" t="s">
        <v>127</v>
      </c>
      <c r="O6" s="56" t="s">
        <v>128</v>
      </c>
      <c r="P6" s="56" t="s">
        <v>129</v>
      </c>
      <c r="Q6" s="56" t="s">
        <v>130</v>
      </c>
      <c r="R6" s="56" t="s">
        <v>131</v>
      </c>
      <c r="S6" s="56" t="s">
        <v>132</v>
      </c>
      <c r="T6" s="56" t="s">
        <v>133</v>
      </c>
      <c r="U6" s="181" t="s">
        <v>61</v>
      </c>
      <c r="V6" s="56" t="s">
        <v>126</v>
      </c>
      <c r="W6" s="56" t="s">
        <v>127</v>
      </c>
      <c r="X6" s="56" t="s">
        <v>128</v>
      </c>
      <c r="Y6" s="56" t="s">
        <v>129</v>
      </c>
      <c r="Z6" s="56" t="s">
        <v>130</v>
      </c>
      <c r="AA6" s="56" t="s">
        <v>131</v>
      </c>
      <c r="AB6" s="56" t="s">
        <v>132</v>
      </c>
      <c r="AC6" s="56" t="s">
        <v>133</v>
      </c>
      <c r="AD6" s="151" t="s">
        <v>60</v>
      </c>
      <c r="AE6" s="151" t="s">
        <v>118</v>
      </c>
      <c r="AF6" s="151" t="s">
        <v>66</v>
      </c>
      <c r="AG6" s="202" t="s">
        <v>62</v>
      </c>
      <c r="AH6" s="151" t="s">
        <v>119</v>
      </c>
      <c r="AI6" s="151"/>
      <c r="AJ6" s="184" t="s">
        <v>68</v>
      </c>
      <c r="AK6" s="57"/>
      <c r="AL6" s="56">
        <f>+AO6*0.5</f>
        <v>324627165.89071614</v>
      </c>
      <c r="AM6" s="56">
        <f>+AO6*0.25</f>
        <v>162313582.94535807</v>
      </c>
      <c r="AN6" s="56">
        <f>+AO6*0.25</f>
        <v>162313582.94535807</v>
      </c>
      <c r="AO6" s="56">
        <f>+'PARTICIPACIONES 2015'!C18</f>
        <v>649254331.78143227</v>
      </c>
      <c r="AP6" s="135"/>
    </row>
    <row r="7" spans="1:42" s="66" customFormat="1" ht="23.25" customHeight="1" thickBot="1">
      <c r="A7" s="59"/>
      <c r="B7" s="137"/>
      <c r="C7" s="138"/>
      <c r="D7" s="152"/>
      <c r="E7" s="59"/>
      <c r="F7" s="60"/>
      <c r="G7" s="61"/>
      <c r="H7" s="60"/>
      <c r="I7" s="60"/>
      <c r="J7" s="61"/>
      <c r="K7" s="62"/>
      <c r="L7" s="60"/>
      <c r="M7" s="56"/>
      <c r="N7" s="56"/>
      <c r="O7" s="56"/>
      <c r="P7" s="56"/>
      <c r="Q7" s="56"/>
      <c r="R7" s="56"/>
      <c r="S7" s="56"/>
      <c r="T7" s="56"/>
      <c r="U7" s="59"/>
      <c r="V7" s="56"/>
      <c r="W7" s="56"/>
      <c r="X7" s="56"/>
      <c r="Y7" s="56"/>
      <c r="Z7" s="56"/>
      <c r="AA7" s="56"/>
      <c r="AB7" s="56"/>
      <c r="AC7" s="56"/>
      <c r="AD7" s="60"/>
      <c r="AE7" s="59"/>
      <c r="AF7" s="60"/>
      <c r="AG7" s="203"/>
      <c r="AH7" s="60"/>
      <c r="AI7" s="60"/>
      <c r="AJ7" s="62"/>
      <c r="AK7" s="60"/>
      <c r="AL7" s="56" t="s">
        <v>101</v>
      </c>
      <c r="AM7" s="56" t="s">
        <v>102</v>
      </c>
      <c r="AN7" s="56" t="s">
        <v>103</v>
      </c>
      <c r="AO7" s="65" t="s">
        <v>183</v>
      </c>
      <c r="AP7" s="139" t="s">
        <v>97</v>
      </c>
    </row>
    <row r="8" spans="1:42" ht="15" thickTop="1">
      <c r="A8" s="5" t="s">
        <v>1</v>
      </c>
      <c r="B8" s="153">
        <v>319941</v>
      </c>
      <c r="C8" s="72">
        <f t="shared" ref="C8:C39" si="0">(B8/B$59)</f>
        <v>2.1683562246407049E-4</v>
      </c>
      <c r="D8" s="154"/>
      <c r="E8" s="155">
        <v>2791</v>
      </c>
      <c r="F8" s="188">
        <f t="shared" ref="F8:F58" si="1">+E8/$E$59</f>
        <v>5.9976903197579094E-4</v>
      </c>
      <c r="G8" s="69">
        <f>+F8*G$4</f>
        <v>5.0980367717942232E-4</v>
      </c>
      <c r="H8" s="70">
        <v>47.45</v>
      </c>
      <c r="I8" s="188">
        <f t="shared" ref="I8:I59" si="2">+H8/$H$59</f>
        <v>7.3886478603129777E-4</v>
      </c>
      <c r="J8" s="71">
        <f>+I8*J$4</f>
        <v>1.1082971790469465E-4</v>
      </c>
      <c r="K8" s="72">
        <f>+J8+G8</f>
        <v>6.20633395084117E-4</v>
      </c>
      <c r="M8" s="73">
        <v>334</v>
      </c>
      <c r="N8" s="74">
        <v>78</v>
      </c>
      <c r="O8" s="74">
        <v>539</v>
      </c>
      <c r="P8" s="74">
        <v>28</v>
      </c>
      <c r="Q8" s="75">
        <f>+M8/M$59*0.25</f>
        <v>1.9531661173630621E-4</v>
      </c>
      <c r="R8" s="75">
        <f t="shared" ref="R8:T23" si="3">+N8/N$59*0.25</f>
        <v>2.2168411718563488E-4</v>
      </c>
      <c r="S8" s="75">
        <f t="shared" si="3"/>
        <v>4.0332477297080497E-4</v>
      </c>
      <c r="T8" s="75">
        <f t="shared" si="3"/>
        <v>1.788314641187441E-4</v>
      </c>
      <c r="U8" s="76">
        <f>SUM(Q8:T8)</f>
        <v>9.9915696601149016E-4</v>
      </c>
      <c r="V8" s="77">
        <v>194.999999997044</v>
      </c>
      <c r="W8" s="77">
        <v>51</v>
      </c>
      <c r="X8" s="77">
        <v>69</v>
      </c>
      <c r="Y8" s="77">
        <v>52</v>
      </c>
      <c r="Z8" s="75">
        <f>+V8/V$59*0.25</f>
        <v>1.5336072329640257E-4</v>
      </c>
      <c r="AA8" s="75">
        <f t="shared" ref="AA8:AC58" si="4">+W8/W$59*0.25</f>
        <v>1.7408044564594084E-4</v>
      </c>
      <c r="AB8" s="75">
        <f t="shared" si="4"/>
        <v>1.4011176451476657E-4</v>
      </c>
      <c r="AC8" s="75">
        <f t="shared" si="4"/>
        <v>9.4710767885764239E-4</v>
      </c>
      <c r="AD8" s="68">
        <f>SUM(Z8:AC8)</f>
        <v>1.4146606123147524E-3</v>
      </c>
      <c r="AE8" s="79">
        <f>+AD8*AE$4</f>
        <v>1.2024615204675394E-3</v>
      </c>
      <c r="AF8" s="188">
        <f t="shared" ref="AF8:AF58" si="5">+(AD8-U8)/U8</f>
        <v>0.415854225549666</v>
      </c>
      <c r="AG8" s="204">
        <f t="shared" ref="AG8:AG58" si="6">IF(AF8&gt;0,0,AF8)</f>
        <v>0</v>
      </c>
      <c r="AH8" s="188">
        <f>+AG8/AG$59</f>
        <v>0</v>
      </c>
      <c r="AI8" s="69">
        <f t="shared" ref="AI8:AI39" si="7">+AH8*AI$4</f>
        <v>0</v>
      </c>
      <c r="AJ8" s="72">
        <f t="shared" ref="AJ8:AJ39" si="8">+AI8+AE8</f>
        <v>1.2024615204675394E-3</v>
      </c>
      <c r="AL8" s="82">
        <f t="shared" ref="AL8:AL39" si="9">+C8*AL$6</f>
        <v>70390.733584660498</v>
      </c>
      <c r="AM8" s="83">
        <f t="shared" ref="AM8:AM39" si="10">+K8*AM$6</f>
        <v>100737.23005164501</v>
      </c>
      <c r="AN8" s="83">
        <f>+AJ8*AN$6</f>
        <v>195175.83774100934</v>
      </c>
      <c r="AO8" s="83">
        <f t="shared" ref="AO8:AO58" si="11">SUM(AL8:AN8)</f>
        <v>366303.80137731484</v>
      </c>
      <c r="AP8" s="142">
        <f>+AO8/AO$59</f>
        <v>5.6419154011994944E-4</v>
      </c>
    </row>
    <row r="9" spans="1:42" ht="14.25">
      <c r="A9" s="7" t="s">
        <v>2</v>
      </c>
      <c r="B9" s="156">
        <v>229371</v>
      </c>
      <c r="C9" s="90">
        <f t="shared" si="0"/>
        <v>1.5545304778132941E-4</v>
      </c>
      <c r="D9" s="154"/>
      <c r="E9" s="157">
        <v>3443</v>
      </c>
      <c r="F9" s="189">
        <f t="shared" si="1"/>
        <v>7.3987989146995627E-4</v>
      </c>
      <c r="G9" s="87">
        <f t="shared" ref="G9:G58" si="12">+F9*G$4</f>
        <v>6.2889790774946284E-4</v>
      </c>
      <c r="H9" s="88">
        <v>978.99</v>
      </c>
      <c r="I9" s="189">
        <f t="shared" si="2"/>
        <v>1.524428317970032E-2</v>
      </c>
      <c r="J9" s="89">
        <f t="shared" ref="J9:J58" si="13">+I9*J$4</f>
        <v>2.2866424769550477E-3</v>
      </c>
      <c r="K9" s="90">
        <f t="shared" ref="K9:K58" si="14">+J9+G9</f>
        <v>2.9155403847045108E-3</v>
      </c>
      <c r="M9" s="91">
        <v>768</v>
      </c>
      <c r="N9" s="92">
        <v>191</v>
      </c>
      <c r="O9" s="92">
        <v>961</v>
      </c>
      <c r="P9" s="92">
        <v>102</v>
      </c>
      <c r="Q9" s="93">
        <f t="shared" ref="Q9:T58" si="15">+M9/M$59*0.25</f>
        <v>4.4911125093857236E-4</v>
      </c>
      <c r="R9" s="93">
        <f t="shared" si="3"/>
        <v>5.4284187669815717E-4</v>
      </c>
      <c r="S9" s="93">
        <f t="shared" si="3"/>
        <v>7.1910038371974692E-4</v>
      </c>
      <c r="T9" s="93">
        <f t="shared" si="3"/>
        <v>6.514574764325678E-4</v>
      </c>
      <c r="U9" s="94">
        <f t="shared" ref="U9:U58" si="16">SUM(Q9:T9)</f>
        <v>2.3625109877890441E-3</v>
      </c>
      <c r="V9" s="95">
        <v>468.99999999269994</v>
      </c>
      <c r="W9" s="95">
        <v>120</v>
      </c>
      <c r="X9" s="95">
        <v>175</v>
      </c>
      <c r="Y9" s="95">
        <v>44</v>
      </c>
      <c r="Z9" s="93">
        <f t="shared" ref="Z9:Z58" si="17">+V9/V$59*0.25</f>
        <v>3.6885220115889019E-4</v>
      </c>
      <c r="AA9" s="93">
        <f t="shared" si="4"/>
        <v>4.0960104857868437E-4</v>
      </c>
      <c r="AB9" s="93">
        <f t="shared" si="4"/>
        <v>3.5535592449397314E-4</v>
      </c>
      <c r="AC9" s="93">
        <f t="shared" si="4"/>
        <v>8.0139880518723594E-4</v>
      </c>
      <c r="AD9" s="86">
        <f t="shared" ref="AD9:AD58" si="18">SUM(Z9:AC9)</f>
        <v>1.9352079794187835E-3</v>
      </c>
      <c r="AE9" s="97">
        <f t="shared" ref="AE9:AE58" si="19">+AD9*AE$4</f>
        <v>1.644926782505966E-3</v>
      </c>
      <c r="AF9" s="189">
        <f t="shared" si="5"/>
        <v>-0.1808681570493571</v>
      </c>
      <c r="AG9" s="205">
        <f t="shared" si="6"/>
        <v>-0.1808681570493571</v>
      </c>
      <c r="AH9" s="189">
        <f t="shared" ref="AH9:AH58" si="20">+AG9/AG$59</f>
        <v>3.3703048799913031E-2</v>
      </c>
      <c r="AI9" s="87">
        <f t="shared" si="7"/>
        <v>5.0554573199869546E-3</v>
      </c>
      <c r="AJ9" s="90">
        <f t="shared" si="8"/>
        <v>6.7003841024929206E-3</v>
      </c>
      <c r="AL9" s="100">
        <f t="shared" si="9"/>
        <v>50464.282330327042</v>
      </c>
      <c r="AM9" s="101">
        <f t="shared" si="10"/>
        <v>473231.80606327677</v>
      </c>
      <c r="AN9" s="101">
        <f t="shared" ref="AN9:AN58" si="21">+AJ9*AN$6</f>
        <v>1087563.3507857432</v>
      </c>
      <c r="AO9" s="101">
        <f t="shared" si="11"/>
        <v>1611259.4391793469</v>
      </c>
      <c r="AP9" s="145">
        <f t="shared" ref="AP9:AP58" si="22">+AO9/AO$59</f>
        <v>2.4817076456900228E-3</v>
      </c>
    </row>
    <row r="10" spans="1:42" ht="14.25">
      <c r="A10" s="7" t="s">
        <v>3</v>
      </c>
      <c r="B10" s="156">
        <v>23143</v>
      </c>
      <c r="C10" s="90">
        <f t="shared" si="0"/>
        <v>1.5684850677737407E-5</v>
      </c>
      <c r="D10" s="154"/>
      <c r="E10" s="157">
        <v>1374</v>
      </c>
      <c r="F10" s="189">
        <f t="shared" si="1"/>
        <v>2.9526429592788847E-4</v>
      </c>
      <c r="G10" s="87">
        <f t="shared" si="12"/>
        <v>2.509746515387052E-4</v>
      </c>
      <c r="H10" s="88">
        <v>696.75</v>
      </c>
      <c r="I10" s="189">
        <f t="shared" si="2"/>
        <v>1.0849400203736705E-2</v>
      </c>
      <c r="J10" s="89">
        <f t="shared" si="13"/>
        <v>1.6274100305605057E-3</v>
      </c>
      <c r="K10" s="90">
        <f t="shared" si="14"/>
        <v>1.8783846820992108E-3</v>
      </c>
      <c r="M10" s="91">
        <v>363</v>
      </c>
      <c r="N10" s="92">
        <v>91</v>
      </c>
      <c r="O10" s="92">
        <v>728</v>
      </c>
      <c r="P10" s="92">
        <v>81</v>
      </c>
      <c r="Q10" s="93">
        <f t="shared" si="15"/>
        <v>2.1227523970143459E-4</v>
      </c>
      <c r="R10" s="93">
        <f t="shared" si="3"/>
        <v>2.5863147004990736E-4</v>
      </c>
      <c r="S10" s="93">
        <f t="shared" si="3"/>
        <v>5.4475034271381456E-4</v>
      </c>
      <c r="T10" s="93">
        <f t="shared" si="3"/>
        <v>5.1733387834350972E-4</v>
      </c>
      <c r="U10" s="94">
        <f t="shared" si="16"/>
        <v>1.5329909308086662E-3</v>
      </c>
      <c r="V10" s="95">
        <v>209.00000000199</v>
      </c>
      <c r="W10" s="95">
        <v>60</v>
      </c>
      <c r="X10" s="95">
        <v>193</v>
      </c>
      <c r="Y10" s="95">
        <v>19</v>
      </c>
      <c r="Z10" s="93">
        <f t="shared" si="17"/>
        <v>1.6437123676789337E-4</v>
      </c>
      <c r="AA10" s="93">
        <f t="shared" si="4"/>
        <v>2.0480052428934218E-4</v>
      </c>
      <c r="AB10" s="93">
        <f t="shared" si="4"/>
        <v>3.9190681958478185E-4</v>
      </c>
      <c r="AC10" s="93">
        <f t="shared" si="4"/>
        <v>3.4605857496721549E-4</v>
      </c>
      <c r="AD10" s="86">
        <f t="shared" si="18"/>
        <v>1.107137155609233E-3</v>
      </c>
      <c r="AE10" s="97">
        <f t="shared" si="19"/>
        <v>9.4106658226784804E-4</v>
      </c>
      <c r="AF10" s="189">
        <f t="shared" si="5"/>
        <v>-0.27779275574369616</v>
      </c>
      <c r="AG10" s="205">
        <f t="shared" si="6"/>
        <v>-0.27779275574369616</v>
      </c>
      <c r="AH10" s="189">
        <f t="shared" si="20"/>
        <v>5.1764019470476444E-2</v>
      </c>
      <c r="AI10" s="87">
        <f t="shared" si="7"/>
        <v>7.7646029205714661E-3</v>
      </c>
      <c r="AJ10" s="90">
        <f t="shared" si="8"/>
        <v>8.7056695028393145E-3</v>
      </c>
      <c r="AL10" s="100">
        <f t="shared" si="9"/>
        <v>5091.7286229329729</v>
      </c>
      <c r="AM10" s="101">
        <f t="shared" si="10"/>
        <v>304887.34790120029</v>
      </c>
      <c r="AN10" s="101">
        <f t="shared" si="21"/>
        <v>1413048.4089439833</v>
      </c>
      <c r="AO10" s="101">
        <f t="shared" si="11"/>
        <v>1723027.4854681166</v>
      </c>
      <c r="AP10" s="145">
        <f t="shared" si="22"/>
        <v>2.6538559715735006E-3</v>
      </c>
    </row>
    <row r="11" spans="1:42" ht="13.5" customHeight="1">
      <c r="A11" s="7" t="s">
        <v>4</v>
      </c>
      <c r="B11" s="156">
        <v>12110048.289999999</v>
      </c>
      <c r="C11" s="90">
        <f t="shared" si="0"/>
        <v>8.2074190523630988E-3</v>
      </c>
      <c r="D11" s="154"/>
      <c r="E11" s="157">
        <v>32593</v>
      </c>
      <c r="F11" s="189">
        <f t="shared" si="1"/>
        <v>7.0040387170143149E-3</v>
      </c>
      <c r="G11" s="87">
        <f t="shared" si="12"/>
        <v>5.9534329094621677E-3</v>
      </c>
      <c r="H11" s="88">
        <v>190.52</v>
      </c>
      <c r="I11" s="189">
        <f t="shared" si="2"/>
        <v>2.9666705802883636E-3</v>
      </c>
      <c r="J11" s="89">
        <f t="shared" si="13"/>
        <v>4.4500058704325453E-4</v>
      </c>
      <c r="K11" s="90">
        <f t="shared" si="14"/>
        <v>6.3984334965054221E-3</v>
      </c>
      <c r="M11" s="91">
        <v>3420</v>
      </c>
      <c r="N11" s="92">
        <v>773</v>
      </c>
      <c r="O11" s="92">
        <v>6993</v>
      </c>
      <c r="P11" s="92">
        <v>216</v>
      </c>
      <c r="Q11" s="93">
        <f t="shared" si="15"/>
        <v>1.99994853933583E-3</v>
      </c>
      <c r="R11" s="93">
        <f t="shared" si="3"/>
        <v>2.196946443390971E-3</v>
      </c>
      <c r="S11" s="93">
        <f t="shared" si="3"/>
        <v>5.2327460804913531E-3</v>
      </c>
      <c r="T11" s="93">
        <f t="shared" si="3"/>
        <v>1.3795570089160259E-3</v>
      </c>
      <c r="U11" s="94">
        <f t="shared" si="16"/>
        <v>1.080919807213418E-2</v>
      </c>
      <c r="V11" s="95">
        <v>2055.0000000045479</v>
      </c>
      <c r="W11" s="95">
        <v>629</v>
      </c>
      <c r="X11" s="95">
        <v>1238</v>
      </c>
      <c r="Y11" s="95">
        <v>59</v>
      </c>
      <c r="Z11" s="93">
        <f t="shared" si="17"/>
        <v>1.6161860839978574E-3</v>
      </c>
      <c r="AA11" s="93">
        <f t="shared" si="4"/>
        <v>2.1469921629666037E-3</v>
      </c>
      <c r="AB11" s="93">
        <f t="shared" si="4"/>
        <v>2.5138893401345074E-3</v>
      </c>
      <c r="AC11" s="93">
        <f t="shared" si="4"/>
        <v>1.074602943319248E-3</v>
      </c>
      <c r="AD11" s="86">
        <f t="shared" si="18"/>
        <v>7.3516705304182165E-3</v>
      </c>
      <c r="AE11" s="97">
        <f t="shared" si="19"/>
        <v>6.2489199508554841E-3</v>
      </c>
      <c r="AF11" s="189">
        <f t="shared" si="5"/>
        <v>-0.31986901513345156</v>
      </c>
      <c r="AG11" s="205">
        <f t="shared" si="6"/>
        <v>-0.31986901513345156</v>
      </c>
      <c r="AH11" s="189">
        <f t="shared" si="20"/>
        <v>5.9604527422043294E-2</v>
      </c>
      <c r="AI11" s="87">
        <f t="shared" si="7"/>
        <v>8.9406791133064944E-3</v>
      </c>
      <c r="AJ11" s="90">
        <f t="shared" si="8"/>
        <v>1.5189599064161979E-2</v>
      </c>
      <c r="AL11" s="100">
        <f t="shared" si="9"/>
        <v>2664351.1862460999</v>
      </c>
      <c r="AM11" s="101">
        <f t="shared" si="10"/>
        <v>1038552.6660553903</v>
      </c>
      <c r="AN11" s="101">
        <f t="shared" si="21"/>
        <v>2465478.2476075888</v>
      </c>
      <c r="AO11" s="101">
        <f t="shared" si="11"/>
        <v>6168382.0999090783</v>
      </c>
      <c r="AP11" s="145">
        <f t="shared" si="22"/>
        <v>9.5007176663484006E-3</v>
      </c>
    </row>
    <row r="12" spans="1:42" ht="14.25">
      <c r="A12" s="7" t="s">
        <v>5</v>
      </c>
      <c r="B12" s="156">
        <v>1133766</v>
      </c>
      <c r="C12" s="90">
        <f t="shared" si="0"/>
        <v>7.6839434876617668E-4</v>
      </c>
      <c r="D12" s="154"/>
      <c r="E12" s="157">
        <v>18480</v>
      </c>
      <c r="F12" s="189">
        <f t="shared" si="1"/>
        <v>3.9712403120432159E-3</v>
      </c>
      <c r="G12" s="87">
        <f t="shared" si="12"/>
        <v>3.3755542652367334E-3</v>
      </c>
      <c r="H12" s="88">
        <v>4572.87</v>
      </c>
      <c r="I12" s="189">
        <f t="shared" si="2"/>
        <v>7.1206166788175776E-2</v>
      </c>
      <c r="J12" s="89">
        <f t="shared" si="13"/>
        <v>1.0680925018226366E-2</v>
      </c>
      <c r="K12" s="90">
        <f t="shared" si="14"/>
        <v>1.4056479283463099E-2</v>
      </c>
      <c r="M12" s="91">
        <v>3207</v>
      </c>
      <c r="N12" s="92">
        <v>706</v>
      </c>
      <c r="O12" s="92">
        <v>5696</v>
      </c>
      <c r="P12" s="92">
        <v>1464</v>
      </c>
      <c r="Q12" s="93">
        <f t="shared" si="15"/>
        <v>1.8753903408333353E-3</v>
      </c>
      <c r="R12" s="93">
        <f t="shared" si="3"/>
        <v>2.0065254709366437E-3</v>
      </c>
      <c r="S12" s="93">
        <f t="shared" si="3"/>
        <v>4.2622224616729225E-3</v>
      </c>
      <c r="T12" s="93">
        <f t="shared" si="3"/>
        <v>9.3503308382086193E-3</v>
      </c>
      <c r="U12" s="94">
        <f t="shared" si="16"/>
        <v>1.749446911165152E-2</v>
      </c>
      <c r="V12" s="95">
        <v>2802.0000000077798</v>
      </c>
      <c r="W12" s="95">
        <v>510</v>
      </c>
      <c r="X12" s="95">
        <v>1865</v>
      </c>
      <c r="Y12" s="95">
        <v>534</v>
      </c>
      <c r="Z12" s="93">
        <f t="shared" si="17"/>
        <v>2.2036756240216781E-3</v>
      </c>
      <c r="AA12" s="93">
        <f t="shared" si="4"/>
        <v>1.7408044564594086E-3</v>
      </c>
      <c r="AB12" s="93">
        <f t="shared" si="4"/>
        <v>3.7870788524643428E-3</v>
      </c>
      <c r="AC12" s="93">
        <f t="shared" si="4"/>
        <v>9.7260673174996357E-3</v>
      </c>
      <c r="AD12" s="86">
        <f t="shared" si="18"/>
        <v>1.7457626250445064E-2</v>
      </c>
      <c r="AE12" s="97">
        <f t="shared" si="19"/>
        <v>1.4838982312878304E-2</v>
      </c>
      <c r="AF12" s="189">
        <f t="shared" si="5"/>
        <v>-2.1059719486953626E-3</v>
      </c>
      <c r="AG12" s="205">
        <f t="shared" si="6"/>
        <v>-2.1059719486953626E-3</v>
      </c>
      <c r="AH12" s="189">
        <f t="shared" si="20"/>
        <v>3.9242770267603632E-4</v>
      </c>
      <c r="AI12" s="87">
        <f t="shared" si="7"/>
        <v>5.8864155401405446E-5</v>
      </c>
      <c r="AJ12" s="90">
        <f t="shared" si="8"/>
        <v>1.4897846468279709E-2</v>
      </c>
      <c r="AL12" s="100">
        <f t="shared" si="9"/>
        <v>249441.67972640644</v>
      </c>
      <c r="AM12" s="101">
        <f t="shared" si="10"/>
        <v>2281557.5160960951</v>
      </c>
      <c r="AN12" s="101">
        <f t="shared" si="21"/>
        <v>2418122.8384363283</v>
      </c>
      <c r="AO12" s="101">
        <f t="shared" si="11"/>
        <v>4949122.0342588294</v>
      </c>
      <c r="AP12" s="145">
        <f t="shared" si="22"/>
        <v>7.6227786123187913E-3</v>
      </c>
    </row>
    <row r="13" spans="1:42" ht="14.25">
      <c r="A13" s="7" t="s">
        <v>6</v>
      </c>
      <c r="B13" s="156">
        <v>84699727.209999993</v>
      </c>
      <c r="C13" s="90">
        <f t="shared" si="0"/>
        <v>5.7404077852220618E-2</v>
      </c>
      <c r="D13" s="154"/>
      <c r="E13" s="157">
        <v>523370</v>
      </c>
      <c r="F13" s="189">
        <f t="shared" si="1"/>
        <v>0.11246904989794686</v>
      </c>
      <c r="G13" s="87">
        <f t="shared" si="12"/>
        <v>9.5598692413254832E-2</v>
      </c>
      <c r="H13" s="88">
        <v>238.03</v>
      </c>
      <c r="I13" s="189">
        <f t="shared" si="2"/>
        <v>3.7064696526665922E-3</v>
      </c>
      <c r="J13" s="89">
        <f t="shared" si="13"/>
        <v>5.5597044789998883E-4</v>
      </c>
      <c r="K13" s="90">
        <f t="shared" si="14"/>
        <v>9.6154662861154816E-2</v>
      </c>
      <c r="M13" s="91">
        <v>27572</v>
      </c>
      <c r="N13" s="92">
        <v>4134</v>
      </c>
      <c r="O13" s="92">
        <v>4960</v>
      </c>
      <c r="P13" s="92">
        <v>1244</v>
      </c>
      <c r="Q13" s="93">
        <f t="shared" si="15"/>
        <v>1.6123561732914474E-2</v>
      </c>
      <c r="R13" s="93">
        <f t="shared" si="3"/>
        <v>1.1749258210838649E-2</v>
      </c>
      <c r="S13" s="93">
        <f t="shared" si="3"/>
        <v>3.711485851456758E-3</v>
      </c>
      <c r="T13" s="93">
        <f t="shared" si="3"/>
        <v>7.9452264772756302E-3</v>
      </c>
      <c r="U13" s="94">
        <f t="shared" si="16"/>
        <v>3.9529532272485512E-2</v>
      </c>
      <c r="V13" s="95">
        <v>34239.000000084088</v>
      </c>
      <c r="W13" s="95">
        <v>3826</v>
      </c>
      <c r="X13" s="95">
        <v>1071</v>
      </c>
      <c r="Y13" s="95">
        <v>267</v>
      </c>
      <c r="Z13" s="93">
        <f t="shared" si="17"/>
        <v>2.6927783615579601E-2</v>
      </c>
      <c r="AA13" s="93">
        <f t="shared" si="4"/>
        <v>1.3059446765517053E-2</v>
      </c>
      <c r="AB13" s="93">
        <f t="shared" si="4"/>
        <v>2.1747782579031156E-3</v>
      </c>
      <c r="AC13" s="93">
        <f t="shared" si="4"/>
        <v>4.8630336587498178E-3</v>
      </c>
      <c r="AD13" s="86">
        <f t="shared" si="18"/>
        <v>4.7025042297749592E-2</v>
      </c>
      <c r="AE13" s="97">
        <f t="shared" si="19"/>
        <v>3.9971285953087153E-2</v>
      </c>
      <c r="AF13" s="189">
        <f t="shared" si="5"/>
        <v>0.18961797912497236</v>
      </c>
      <c r="AG13" s="205">
        <f t="shared" si="6"/>
        <v>0</v>
      </c>
      <c r="AH13" s="189">
        <f t="shared" si="20"/>
        <v>0</v>
      </c>
      <c r="AI13" s="87">
        <f t="shared" si="7"/>
        <v>0</v>
      </c>
      <c r="AJ13" s="90">
        <f t="shared" si="8"/>
        <v>3.9971285953087153E-2</v>
      </c>
      <c r="AL13" s="100">
        <f t="shared" si="9"/>
        <v>18634923.103736408</v>
      </c>
      <c r="AM13" s="101">
        <f t="shared" si="10"/>
        <v>15607207.845896993</v>
      </c>
      <c r="AN13" s="101">
        <f t="shared" si="21"/>
        <v>6487882.6379790371</v>
      </c>
      <c r="AO13" s="101">
        <f t="shared" si="11"/>
        <v>40730013.587612443</v>
      </c>
      <c r="AP13" s="145">
        <f t="shared" si="22"/>
        <v>6.2733526129670827E-2</v>
      </c>
    </row>
    <row r="14" spans="1:42" ht="14.25">
      <c r="A14" s="7" t="s">
        <v>7</v>
      </c>
      <c r="B14" s="156">
        <v>490808.38</v>
      </c>
      <c r="C14" s="90">
        <f t="shared" si="0"/>
        <v>3.3263864458722719E-4</v>
      </c>
      <c r="D14" s="154"/>
      <c r="E14" s="157">
        <v>15470</v>
      </c>
      <c r="F14" s="189">
        <f t="shared" si="1"/>
        <v>3.3244095036422377E-3</v>
      </c>
      <c r="G14" s="87">
        <f t="shared" si="12"/>
        <v>2.825748078095902E-3</v>
      </c>
      <c r="H14" s="88">
        <v>2664.8</v>
      </c>
      <c r="I14" s="189">
        <f t="shared" si="2"/>
        <v>4.149477095503061E-2</v>
      </c>
      <c r="J14" s="89">
        <f t="shared" si="13"/>
        <v>6.224215643254591E-3</v>
      </c>
      <c r="K14" s="90">
        <f t="shared" si="14"/>
        <v>9.0499637213504926E-3</v>
      </c>
      <c r="M14" s="91">
        <v>3888</v>
      </c>
      <c r="N14" s="92">
        <v>1372</v>
      </c>
      <c r="O14" s="92">
        <v>11340</v>
      </c>
      <c r="P14" s="92">
        <v>3122</v>
      </c>
      <c r="Q14" s="93">
        <f t="shared" si="15"/>
        <v>2.2736257078765226E-3</v>
      </c>
      <c r="R14" s="93">
        <f t="shared" si="3"/>
        <v>3.8993667792139876E-3</v>
      </c>
      <c r="S14" s="93">
        <f t="shared" si="3"/>
        <v>8.4855341845805725E-3</v>
      </c>
      <c r="T14" s="93">
        <f t="shared" si="3"/>
        <v>1.9939708249239966E-2</v>
      </c>
      <c r="U14" s="94">
        <f t="shared" si="16"/>
        <v>3.4598234920911047E-2</v>
      </c>
      <c r="V14" s="95">
        <v>3560.0000000065597</v>
      </c>
      <c r="W14" s="95">
        <v>1140</v>
      </c>
      <c r="X14" s="95">
        <v>7405</v>
      </c>
      <c r="Y14" s="95">
        <v>920</v>
      </c>
      <c r="Z14" s="93">
        <f t="shared" si="17"/>
        <v>2.7998162817665408E-3</v>
      </c>
      <c r="AA14" s="93">
        <f t="shared" si="4"/>
        <v>3.8912099614975015E-3</v>
      </c>
      <c r="AB14" s="93">
        <f t="shared" si="4"/>
        <v>1.5036632119302121E-2</v>
      </c>
      <c r="AC14" s="93">
        <f t="shared" si="4"/>
        <v>1.6756520472096751E-2</v>
      </c>
      <c r="AD14" s="86">
        <f t="shared" si="18"/>
        <v>3.8484178834662916E-2</v>
      </c>
      <c r="AE14" s="97">
        <f t="shared" si="19"/>
        <v>3.2711552009463477E-2</v>
      </c>
      <c r="AF14" s="189">
        <f t="shared" si="5"/>
        <v>0.11231624742229894</v>
      </c>
      <c r="AG14" s="205">
        <f t="shared" si="6"/>
        <v>0</v>
      </c>
      <c r="AH14" s="189">
        <f t="shared" si="20"/>
        <v>0</v>
      </c>
      <c r="AI14" s="87">
        <f t="shared" si="7"/>
        <v>0</v>
      </c>
      <c r="AJ14" s="90">
        <f t="shared" si="8"/>
        <v>3.2711552009463477E-2</v>
      </c>
      <c r="AL14" s="100">
        <f t="shared" si="9"/>
        <v>107983.54045808077</v>
      </c>
      <c r="AM14" s="101">
        <f t="shared" si="10"/>
        <v>1468932.0371379047</v>
      </c>
      <c r="AN14" s="101">
        <f t="shared" si="21"/>
        <v>5309529.2103594439</v>
      </c>
      <c r="AO14" s="101">
        <f t="shared" si="11"/>
        <v>6886444.7879554294</v>
      </c>
      <c r="AP14" s="145">
        <f t="shared" si="22"/>
        <v>1.0606698254997108E-2</v>
      </c>
    </row>
    <row r="15" spans="1:42" ht="14.25">
      <c r="A15" s="7" t="s">
        <v>8</v>
      </c>
      <c r="B15" s="156">
        <v>121802</v>
      </c>
      <c r="C15" s="90">
        <f t="shared" si="0"/>
        <v>8.2549634111816602E-5</v>
      </c>
      <c r="D15" s="154"/>
      <c r="E15" s="157">
        <v>3773</v>
      </c>
      <c r="F15" s="189">
        <f t="shared" si="1"/>
        <v>8.1079489704215658E-4</v>
      </c>
      <c r="G15" s="87">
        <f t="shared" si="12"/>
        <v>6.8917566248583311E-4</v>
      </c>
      <c r="H15" s="88">
        <v>465.62</v>
      </c>
      <c r="I15" s="189">
        <f t="shared" si="2"/>
        <v>7.2503734809671837E-3</v>
      </c>
      <c r="J15" s="89">
        <f t="shared" si="13"/>
        <v>1.0875560221450776E-3</v>
      </c>
      <c r="K15" s="90">
        <f t="shared" si="14"/>
        <v>1.7767316846309107E-3</v>
      </c>
      <c r="M15" s="91">
        <v>739</v>
      </c>
      <c r="N15" s="92">
        <v>153</v>
      </c>
      <c r="O15" s="92">
        <v>789</v>
      </c>
      <c r="P15" s="92">
        <v>57</v>
      </c>
      <c r="Q15" s="93">
        <f t="shared" si="15"/>
        <v>4.3215262297344398E-4</v>
      </c>
      <c r="R15" s="93">
        <f t="shared" si="3"/>
        <v>4.3484192217182224E-4</v>
      </c>
      <c r="S15" s="93">
        <f t="shared" si="3"/>
        <v>5.9039563241923033E-4</v>
      </c>
      <c r="T15" s="93">
        <f t="shared" si="3"/>
        <v>3.6404976624172905E-4</v>
      </c>
      <c r="U15" s="94">
        <f t="shared" si="16"/>
        <v>1.8214399438062257E-3</v>
      </c>
      <c r="V15" s="95">
        <v>518.99999999744</v>
      </c>
      <c r="W15" s="95">
        <v>104</v>
      </c>
      <c r="X15" s="95">
        <v>89</v>
      </c>
      <c r="Y15" s="95">
        <v>41</v>
      </c>
      <c r="Z15" s="93">
        <f t="shared" si="17"/>
        <v>4.0817546354690717E-4</v>
      </c>
      <c r="AA15" s="93">
        <f t="shared" si="4"/>
        <v>3.5498757543485978E-4</v>
      </c>
      <c r="AB15" s="93">
        <f t="shared" si="4"/>
        <v>1.8072387017122063E-4</v>
      </c>
      <c r="AC15" s="93">
        <f t="shared" si="4"/>
        <v>7.4675797756083341E-4</v>
      </c>
      <c r="AD15" s="86">
        <f t="shared" si="18"/>
        <v>1.6906448867138209E-3</v>
      </c>
      <c r="AE15" s="97">
        <f t="shared" si="19"/>
        <v>1.4370481537067476E-3</v>
      </c>
      <c r="AF15" s="189">
        <f t="shared" si="5"/>
        <v>-7.1808602604313709E-2</v>
      </c>
      <c r="AG15" s="205">
        <f t="shared" si="6"/>
        <v>-7.1808602604313709E-2</v>
      </c>
      <c r="AH15" s="189">
        <f t="shared" si="20"/>
        <v>1.3380845347842557E-2</v>
      </c>
      <c r="AI15" s="87">
        <f t="shared" si="7"/>
        <v>2.0071268021763836E-3</v>
      </c>
      <c r="AJ15" s="90">
        <f t="shared" si="8"/>
        <v>3.4441749558831313E-3</v>
      </c>
      <c r="AL15" s="100">
        <f t="shared" si="9"/>
        <v>26797.853767034609</v>
      </c>
      <c r="AM15" s="101">
        <f t="shared" si="10"/>
        <v>288387.6856649851</v>
      </c>
      <c r="AN15" s="101">
        <f t="shared" si="21"/>
        <v>559036.37738006155</v>
      </c>
      <c r="AO15" s="101">
        <f t="shared" si="11"/>
        <v>874221.91681208124</v>
      </c>
      <c r="AP15" s="145">
        <f t="shared" si="22"/>
        <v>1.3465014771844189E-3</v>
      </c>
    </row>
    <row r="16" spans="1:42" ht="14.25">
      <c r="A16" s="7" t="s">
        <v>9</v>
      </c>
      <c r="B16" s="156">
        <v>17609678.710000001</v>
      </c>
      <c r="C16" s="90">
        <f t="shared" si="0"/>
        <v>1.1934718102634986E-2</v>
      </c>
      <c r="D16" s="154"/>
      <c r="E16" s="157">
        <v>86445</v>
      </c>
      <c r="F16" s="189">
        <f t="shared" si="1"/>
        <v>1.8576508050572284E-2</v>
      </c>
      <c r="G16" s="87">
        <f t="shared" si="12"/>
        <v>1.5790031842986441E-2</v>
      </c>
      <c r="H16" s="88">
        <v>1140.97</v>
      </c>
      <c r="I16" s="189">
        <f t="shared" si="2"/>
        <v>1.7766544887631817E-2</v>
      </c>
      <c r="J16" s="89">
        <f t="shared" si="13"/>
        <v>2.6649817331447726E-3</v>
      </c>
      <c r="K16" s="90">
        <f t="shared" si="14"/>
        <v>1.8455013576131211E-2</v>
      </c>
      <c r="M16" s="91">
        <v>6662</v>
      </c>
      <c r="N16" s="92">
        <v>2055</v>
      </c>
      <c r="O16" s="92">
        <v>14558</v>
      </c>
      <c r="P16" s="92">
        <v>683</v>
      </c>
      <c r="Q16" s="93">
        <f t="shared" si="15"/>
        <v>3.895806189782251E-3</v>
      </c>
      <c r="R16" s="93">
        <f t="shared" si="3"/>
        <v>5.8405238566215344E-3</v>
      </c>
      <c r="S16" s="93">
        <f t="shared" si="3"/>
        <v>1.0893510287400703E-2</v>
      </c>
      <c r="T16" s="93">
        <f t="shared" si="3"/>
        <v>4.3622103568965081E-3</v>
      </c>
      <c r="U16" s="94">
        <f t="shared" si="16"/>
        <v>2.4992050690700995E-2</v>
      </c>
      <c r="V16" s="95">
        <v>5056.9999999440479</v>
      </c>
      <c r="W16" s="95">
        <v>1587</v>
      </c>
      <c r="X16" s="95">
        <v>3489</v>
      </c>
      <c r="Y16" s="95">
        <v>461</v>
      </c>
      <c r="Z16" s="93">
        <f t="shared" si="17"/>
        <v>3.9771547575029919E-3</v>
      </c>
      <c r="AA16" s="93">
        <f t="shared" si="4"/>
        <v>5.4169738674531009E-3</v>
      </c>
      <c r="AB16" s="93">
        <f t="shared" si="4"/>
        <v>7.0847818317684138E-3</v>
      </c>
      <c r="AC16" s="93">
        <f t="shared" si="4"/>
        <v>8.3964738452571765E-3</v>
      </c>
      <c r="AD16" s="86">
        <f t="shared" si="18"/>
        <v>2.4875384301981683E-2</v>
      </c>
      <c r="AE16" s="97">
        <f t="shared" si="19"/>
        <v>2.114407665668443E-2</v>
      </c>
      <c r="AF16" s="189">
        <f t="shared" si="5"/>
        <v>-4.6681398882853836E-3</v>
      </c>
      <c r="AG16" s="205">
        <f t="shared" si="6"/>
        <v>-4.6681398882853836E-3</v>
      </c>
      <c r="AH16" s="189">
        <f t="shared" si="20"/>
        <v>8.6986315903450563E-4</v>
      </c>
      <c r="AI16" s="87">
        <f t="shared" si="7"/>
        <v>1.3047947385517585E-4</v>
      </c>
      <c r="AJ16" s="90">
        <f t="shared" si="8"/>
        <v>2.1274556130539607E-2</v>
      </c>
      <c r="AL16" s="100">
        <f t="shared" si="9"/>
        <v>3874333.7133630207</v>
      </c>
      <c r="AM16" s="101">
        <f t="shared" si="10"/>
        <v>2995499.3768470827</v>
      </c>
      <c r="AN16" s="101">
        <f t="shared" si="21"/>
        <v>3453149.4311200166</v>
      </c>
      <c r="AO16" s="101">
        <f t="shared" si="11"/>
        <v>10322982.52133012</v>
      </c>
      <c r="AP16" s="145">
        <f t="shared" si="22"/>
        <v>1.58997514779852E-2</v>
      </c>
    </row>
    <row r="17" spans="1:42" ht="14.25">
      <c r="A17" s="7" t="s">
        <v>10</v>
      </c>
      <c r="B17" s="156">
        <v>1542054.87</v>
      </c>
      <c r="C17" s="90">
        <f t="shared" si="0"/>
        <v>1.0451065277979419E-3</v>
      </c>
      <c r="D17" s="154"/>
      <c r="E17" s="157">
        <v>16092</v>
      </c>
      <c r="F17" s="189">
        <f t="shared" si="1"/>
        <v>3.4580735444480213E-3</v>
      </c>
      <c r="G17" s="87">
        <f t="shared" si="12"/>
        <v>2.9393625127808179E-3</v>
      </c>
      <c r="H17" s="88">
        <v>102.38</v>
      </c>
      <c r="I17" s="189">
        <f t="shared" si="2"/>
        <v>1.5942039366466652E-3</v>
      </c>
      <c r="J17" s="89">
        <f t="shared" si="13"/>
        <v>2.3913059049699976E-4</v>
      </c>
      <c r="K17" s="90">
        <f t="shared" si="14"/>
        <v>3.1784931032778178E-3</v>
      </c>
      <c r="M17" s="91">
        <v>981</v>
      </c>
      <c r="N17" s="92">
        <v>219</v>
      </c>
      <c r="O17" s="92">
        <v>1075</v>
      </c>
      <c r="P17" s="92">
        <v>108</v>
      </c>
      <c r="Q17" s="93">
        <f t="shared" si="15"/>
        <v>5.73669449441067E-4</v>
      </c>
      <c r="R17" s="93">
        <f t="shared" si="3"/>
        <v>6.2242079055966715E-4</v>
      </c>
      <c r="S17" s="93">
        <f t="shared" si="3"/>
        <v>8.0440469562822884E-4</v>
      </c>
      <c r="T17" s="93">
        <f t="shared" si="3"/>
        <v>6.8977850445801295E-4</v>
      </c>
      <c r="U17" s="94">
        <f t="shared" si="16"/>
        <v>2.6902734400869759E-3</v>
      </c>
      <c r="V17" s="95">
        <v>716.99999998365001</v>
      </c>
      <c r="W17" s="95">
        <v>253</v>
      </c>
      <c r="X17" s="95">
        <v>273</v>
      </c>
      <c r="Y17" s="95">
        <v>153</v>
      </c>
      <c r="Z17" s="93">
        <f t="shared" si="17"/>
        <v>5.6389558257784655E-4</v>
      </c>
      <c r="AA17" s="93">
        <f t="shared" si="4"/>
        <v>8.6357554408672619E-4</v>
      </c>
      <c r="AB17" s="93">
        <f t="shared" si="4"/>
        <v>5.5435524221059812E-4</v>
      </c>
      <c r="AC17" s="93">
        <f t="shared" si="4"/>
        <v>2.786682208946525E-3</v>
      </c>
      <c r="AD17" s="86">
        <f t="shared" si="18"/>
        <v>4.7685085778216962E-3</v>
      </c>
      <c r="AE17" s="97">
        <f t="shared" si="19"/>
        <v>4.0532322911484417E-3</v>
      </c>
      <c r="AF17" s="189">
        <f t="shared" si="5"/>
        <v>0.77249959307762084</v>
      </c>
      <c r="AG17" s="205">
        <f t="shared" si="6"/>
        <v>0</v>
      </c>
      <c r="AH17" s="189">
        <f t="shared" si="20"/>
        <v>0</v>
      </c>
      <c r="AI17" s="87">
        <f t="shared" si="7"/>
        <v>0</v>
      </c>
      <c r="AJ17" s="90">
        <f t="shared" si="8"/>
        <v>4.0532322911484417E-3</v>
      </c>
      <c r="AL17" s="100">
        <f t="shared" si="9"/>
        <v>339269.97017293284</v>
      </c>
      <c r="AM17" s="101">
        <f t="shared" si="10"/>
        <v>515912.60396013263</v>
      </c>
      <c r="AN17" s="101">
        <f t="shared" si="21"/>
        <v>657894.65568612632</v>
      </c>
      <c r="AO17" s="101">
        <f t="shared" si="11"/>
        <v>1513077.2298191919</v>
      </c>
      <c r="AP17" s="145">
        <f t="shared" si="22"/>
        <v>2.3304846125055362E-3</v>
      </c>
    </row>
    <row r="18" spans="1:42" ht="14.25">
      <c r="A18" s="7" t="s">
        <v>11</v>
      </c>
      <c r="B18" s="156">
        <v>1249243</v>
      </c>
      <c r="C18" s="90">
        <f t="shared" si="0"/>
        <v>8.4665730092074102E-4</v>
      </c>
      <c r="D18" s="154"/>
      <c r="E18" s="157">
        <v>7855</v>
      </c>
      <c r="F18" s="189">
        <f t="shared" si="1"/>
        <v>1.6879920265746463E-3</v>
      </c>
      <c r="G18" s="87">
        <f t="shared" si="12"/>
        <v>1.4347932225884494E-3</v>
      </c>
      <c r="H18" s="88">
        <v>1006.89</v>
      </c>
      <c r="I18" s="189">
        <f t="shared" si="2"/>
        <v>1.5678726331023254E-2</v>
      </c>
      <c r="J18" s="89">
        <f t="shared" si="13"/>
        <v>2.3518089496534882E-3</v>
      </c>
      <c r="K18" s="90">
        <f t="shared" si="14"/>
        <v>3.7866021722419377E-3</v>
      </c>
      <c r="M18" s="91">
        <v>1343</v>
      </c>
      <c r="N18" s="92">
        <v>344</v>
      </c>
      <c r="O18" s="92">
        <v>1532</v>
      </c>
      <c r="P18" s="92">
        <v>359</v>
      </c>
      <c r="Q18" s="93">
        <f t="shared" si="15"/>
        <v>7.85359908867842E-4</v>
      </c>
      <c r="R18" s="93">
        <f t="shared" si="3"/>
        <v>9.7768379886997952E-4</v>
      </c>
      <c r="S18" s="93">
        <f t="shared" si="3"/>
        <v>1.1463702266999503E-3</v>
      </c>
      <c r="T18" s="93">
        <f t="shared" si="3"/>
        <v>2.2928748435224688E-3</v>
      </c>
      <c r="U18" s="94">
        <f t="shared" si="16"/>
        <v>5.2022887779602407E-3</v>
      </c>
      <c r="V18" s="95">
        <v>655.00000000354908</v>
      </c>
      <c r="W18" s="95">
        <v>319</v>
      </c>
      <c r="X18" s="95">
        <v>345</v>
      </c>
      <c r="Y18" s="95">
        <v>110</v>
      </c>
      <c r="Z18" s="93">
        <f t="shared" si="17"/>
        <v>5.1513473723697805E-4</v>
      </c>
      <c r="AA18" s="93">
        <f t="shared" si="4"/>
        <v>1.0888561208050025E-3</v>
      </c>
      <c r="AB18" s="93">
        <f t="shared" si="4"/>
        <v>7.0055882257383283E-4</v>
      </c>
      <c r="AC18" s="93">
        <f t="shared" si="4"/>
        <v>2.0034970129680896E-3</v>
      </c>
      <c r="AD18" s="86">
        <f t="shared" si="18"/>
        <v>4.3080466935839033E-3</v>
      </c>
      <c r="AE18" s="97">
        <f t="shared" si="19"/>
        <v>3.6618396895463177E-3</v>
      </c>
      <c r="AF18" s="189">
        <f t="shared" si="5"/>
        <v>-0.17189397254624528</v>
      </c>
      <c r="AG18" s="205">
        <f t="shared" si="6"/>
        <v>-0.17189397254624528</v>
      </c>
      <c r="AH18" s="189">
        <f t="shared" si="20"/>
        <v>3.2030795468082691E-2</v>
      </c>
      <c r="AI18" s="87">
        <f t="shared" si="7"/>
        <v>4.8046193202124039E-3</v>
      </c>
      <c r="AJ18" s="90">
        <f t="shared" si="8"/>
        <v>8.4664590097587207E-3</v>
      </c>
      <c r="AL18" s="100">
        <f t="shared" si="9"/>
        <v>274847.96007858339</v>
      </c>
      <c r="AM18" s="101">
        <f t="shared" si="10"/>
        <v>614616.96576526482</v>
      </c>
      <c r="AN18" s="101">
        <f t="shared" si="21"/>
        <v>1374221.2967339463</v>
      </c>
      <c r="AO18" s="101">
        <f t="shared" si="11"/>
        <v>2263686.2225777945</v>
      </c>
      <c r="AP18" s="145">
        <f t="shared" si="22"/>
        <v>3.4865939459605357E-3</v>
      </c>
    </row>
    <row r="19" spans="1:42" ht="14.25">
      <c r="A19" s="7" t="s">
        <v>12</v>
      </c>
      <c r="B19" s="156">
        <v>1426555</v>
      </c>
      <c r="C19" s="90">
        <f t="shared" si="0"/>
        <v>9.6682807581470356E-4</v>
      </c>
      <c r="D19" s="154"/>
      <c r="E19" s="157">
        <v>10864</v>
      </c>
      <c r="F19" s="189">
        <f t="shared" si="1"/>
        <v>2.3346079410193452E-3</v>
      </c>
      <c r="G19" s="87">
        <f t="shared" si="12"/>
        <v>1.9844167498664434E-3</v>
      </c>
      <c r="H19" s="88">
        <v>4292.05</v>
      </c>
      <c r="I19" s="189">
        <f t="shared" si="2"/>
        <v>6.6833395255756198E-2</v>
      </c>
      <c r="J19" s="89">
        <f t="shared" si="13"/>
        <v>1.002500928836343E-2</v>
      </c>
      <c r="K19" s="90">
        <f t="shared" si="14"/>
        <v>1.2009426038229874E-2</v>
      </c>
      <c r="M19" s="91">
        <v>2046</v>
      </c>
      <c r="N19" s="92">
        <v>494</v>
      </c>
      <c r="O19" s="92">
        <v>4758</v>
      </c>
      <c r="P19" s="92">
        <v>898</v>
      </c>
      <c r="Q19" s="93">
        <f t="shared" si="15"/>
        <v>1.1964604419535403E-3</v>
      </c>
      <c r="R19" s="93">
        <f t="shared" si="3"/>
        <v>1.4039994088423542E-3</v>
      </c>
      <c r="S19" s="93">
        <f t="shared" si="3"/>
        <v>3.5603325970224304E-3</v>
      </c>
      <c r="T19" s="93">
        <f t="shared" si="3"/>
        <v>5.7353805278082927E-3</v>
      </c>
      <c r="U19" s="94">
        <f t="shared" si="16"/>
        <v>1.1896172975626618E-2</v>
      </c>
      <c r="V19" s="95">
        <v>787.99999998764804</v>
      </c>
      <c r="W19" s="95">
        <v>378</v>
      </c>
      <c r="X19" s="95">
        <v>1925</v>
      </c>
      <c r="Y19" s="95">
        <v>123</v>
      </c>
      <c r="Z19" s="93">
        <f t="shared" si="17"/>
        <v>6.1973461516668131E-4</v>
      </c>
      <c r="AA19" s="93">
        <f t="shared" si="4"/>
        <v>1.2902433030228557E-3</v>
      </c>
      <c r="AB19" s="93">
        <f t="shared" si="4"/>
        <v>3.9089151694337047E-3</v>
      </c>
      <c r="AC19" s="93">
        <f t="shared" si="4"/>
        <v>2.2402739326825003E-3</v>
      </c>
      <c r="AD19" s="86">
        <f t="shared" si="18"/>
        <v>8.0591670203057422E-3</v>
      </c>
      <c r="AE19" s="97">
        <f t="shared" si="19"/>
        <v>6.8502919672598804E-3</v>
      </c>
      <c r="AF19" s="189">
        <f t="shared" si="5"/>
        <v>-0.32254120406472697</v>
      </c>
      <c r="AG19" s="205">
        <f t="shared" si="6"/>
        <v>-0.32254120406472697</v>
      </c>
      <c r="AH19" s="189">
        <f t="shared" si="20"/>
        <v>6.0102464236475396E-2</v>
      </c>
      <c r="AI19" s="87">
        <f t="shared" si="7"/>
        <v>9.0153696354713098E-3</v>
      </c>
      <c r="AJ19" s="90">
        <f t="shared" si="8"/>
        <v>1.5865661602731191E-2</v>
      </c>
      <c r="AL19" s="100">
        <f t="shared" si="9"/>
        <v>313858.65815530164</v>
      </c>
      <c r="AM19" s="101">
        <f t="shared" si="10"/>
        <v>1949292.9693823676</v>
      </c>
      <c r="AN19" s="101">
        <f t="shared" si="21"/>
        <v>2575212.3805378918</v>
      </c>
      <c r="AO19" s="101">
        <f t="shared" si="11"/>
        <v>4838364.0080755614</v>
      </c>
      <c r="AP19" s="145">
        <f t="shared" si="22"/>
        <v>7.4521859481476204E-3</v>
      </c>
    </row>
    <row r="20" spans="1:42" ht="14.25">
      <c r="A20" s="7" t="s">
        <v>13</v>
      </c>
      <c r="B20" s="156">
        <v>6270308.6799999997</v>
      </c>
      <c r="C20" s="90">
        <f t="shared" si="0"/>
        <v>4.2496156656060468E-3</v>
      </c>
      <c r="D20" s="154"/>
      <c r="E20" s="157">
        <v>24526</v>
      </c>
      <c r="F20" s="189">
        <f t="shared" si="1"/>
        <v>5.2704891717084371E-3</v>
      </c>
      <c r="G20" s="87">
        <f t="shared" si="12"/>
        <v>4.4799157959521715E-3</v>
      </c>
      <c r="H20" s="88">
        <v>146.56</v>
      </c>
      <c r="I20" s="189">
        <f t="shared" si="2"/>
        <v>2.2821501167702212E-3</v>
      </c>
      <c r="J20" s="89">
        <f t="shared" si="13"/>
        <v>3.4232251751553319E-4</v>
      </c>
      <c r="K20" s="90">
        <f t="shared" si="14"/>
        <v>4.8222383134677044E-3</v>
      </c>
      <c r="M20" s="91">
        <v>1162</v>
      </c>
      <c r="N20" s="92">
        <v>349</v>
      </c>
      <c r="O20" s="92">
        <v>489</v>
      </c>
      <c r="P20" s="92">
        <v>43</v>
      </c>
      <c r="Q20" s="93">
        <f t="shared" si="15"/>
        <v>6.7951467915445456E-4</v>
      </c>
      <c r="R20" s="93">
        <f t="shared" si="3"/>
        <v>9.9189431920239184E-4</v>
      </c>
      <c r="S20" s="93">
        <f t="shared" si="3"/>
        <v>3.6591060108111993E-4</v>
      </c>
      <c r="T20" s="93">
        <f t="shared" si="3"/>
        <v>2.7463403418235698E-4</v>
      </c>
      <c r="U20" s="94">
        <f t="shared" si="16"/>
        <v>2.3119536336203231E-3</v>
      </c>
      <c r="V20" s="95">
        <v>2032.9999999577099</v>
      </c>
      <c r="W20" s="95">
        <v>358</v>
      </c>
      <c r="X20" s="95">
        <v>131</v>
      </c>
      <c r="Y20" s="95">
        <v>31</v>
      </c>
      <c r="Z20" s="93">
        <f t="shared" si="17"/>
        <v>1.5988838485119338E-3</v>
      </c>
      <c r="AA20" s="93">
        <f t="shared" si="4"/>
        <v>1.221976461593075E-3</v>
      </c>
      <c r="AB20" s="93">
        <f t="shared" si="4"/>
        <v>2.6600929204977422E-4</v>
      </c>
      <c r="AC20" s="93">
        <f t="shared" si="4"/>
        <v>5.6462188547282534E-4</v>
      </c>
      <c r="AD20" s="86">
        <f t="shared" si="18"/>
        <v>3.6514914876276086E-3</v>
      </c>
      <c r="AE20" s="97">
        <f t="shared" si="19"/>
        <v>3.1037677644834673E-3</v>
      </c>
      <c r="AF20" s="189">
        <f t="shared" si="5"/>
        <v>0.57939650455259473</v>
      </c>
      <c r="AG20" s="205">
        <f t="shared" si="6"/>
        <v>0</v>
      </c>
      <c r="AH20" s="189">
        <f t="shared" si="20"/>
        <v>0</v>
      </c>
      <c r="AI20" s="87">
        <f t="shared" si="7"/>
        <v>0</v>
      </c>
      <c r="AJ20" s="90">
        <f t="shared" si="8"/>
        <v>3.1037677644834673E-3</v>
      </c>
      <c r="AL20" s="100">
        <f t="shared" si="9"/>
        <v>1379540.6896504802</v>
      </c>
      <c r="AM20" s="101">
        <f t="shared" si="10"/>
        <v>782714.77847532381</v>
      </c>
      <c r="AN20" s="101">
        <f t="shared" si="21"/>
        <v>503783.66648361587</v>
      </c>
      <c r="AO20" s="101">
        <f t="shared" si="11"/>
        <v>2666039.1346094199</v>
      </c>
      <c r="AP20" s="145">
        <f t="shared" si="22"/>
        <v>4.106309352290817E-3</v>
      </c>
    </row>
    <row r="21" spans="1:42" ht="14.25">
      <c r="A21" s="7" t="s">
        <v>14</v>
      </c>
      <c r="B21" s="156">
        <v>1436607</v>
      </c>
      <c r="C21" s="90">
        <f t="shared" si="0"/>
        <v>9.7364068087941503E-4</v>
      </c>
      <c r="D21" s="154"/>
      <c r="E21" s="157">
        <v>35445</v>
      </c>
      <c r="F21" s="189">
        <f t="shared" si="1"/>
        <v>7.6169162803231489E-3</v>
      </c>
      <c r="G21" s="87">
        <f t="shared" si="12"/>
        <v>6.4743788382746765E-3</v>
      </c>
      <c r="H21" s="88">
        <v>5091.18</v>
      </c>
      <c r="I21" s="189">
        <f t="shared" si="2"/>
        <v>7.9276999396139566E-2</v>
      </c>
      <c r="J21" s="89">
        <f t="shared" si="13"/>
        <v>1.1891549909420934E-2</v>
      </c>
      <c r="K21" s="90">
        <f t="shared" si="14"/>
        <v>1.836592874769561E-2</v>
      </c>
      <c r="M21" s="91">
        <v>7369</v>
      </c>
      <c r="N21" s="92">
        <v>3474</v>
      </c>
      <c r="O21" s="92">
        <v>27910</v>
      </c>
      <c r="P21" s="92">
        <v>2988</v>
      </c>
      <c r="Q21" s="93">
        <f t="shared" si="15"/>
        <v>4.3092458439665882E-3</v>
      </c>
      <c r="R21" s="93">
        <f t="shared" si="3"/>
        <v>9.8734695269601987E-3</v>
      </c>
      <c r="S21" s="93">
        <f t="shared" si="3"/>
        <v>2.08845907488222E-2</v>
      </c>
      <c r="T21" s="93">
        <f t="shared" si="3"/>
        <v>1.9083871956671692E-2</v>
      </c>
      <c r="U21" s="94">
        <f t="shared" si="16"/>
        <v>5.4151178076420683E-2</v>
      </c>
      <c r="V21" s="95">
        <v>7387.0000000238397</v>
      </c>
      <c r="W21" s="95">
        <v>3170</v>
      </c>
      <c r="X21" s="95">
        <v>23798</v>
      </c>
      <c r="Y21" s="95">
        <v>1385</v>
      </c>
      <c r="Z21" s="93">
        <f t="shared" si="17"/>
        <v>5.8096187846736159E-3</v>
      </c>
      <c r="AA21" s="93">
        <f t="shared" si="4"/>
        <v>1.0820294366620246E-2</v>
      </c>
      <c r="AB21" s="93">
        <f t="shared" si="4"/>
        <v>4.8324344520614702E-2</v>
      </c>
      <c r="AC21" s="93">
        <f t="shared" si="4"/>
        <v>2.522584875418913E-2</v>
      </c>
      <c r="AD21" s="86">
        <f t="shared" si="18"/>
        <v>9.0180106426097695E-2</v>
      </c>
      <c r="AE21" s="97">
        <f t="shared" si="19"/>
        <v>7.6653090462183035E-2</v>
      </c>
      <c r="AF21" s="189">
        <f t="shared" si="5"/>
        <v>0.66533969582030694</v>
      </c>
      <c r="AG21" s="205">
        <f t="shared" si="6"/>
        <v>0</v>
      </c>
      <c r="AH21" s="189">
        <f t="shared" si="20"/>
        <v>0</v>
      </c>
      <c r="AI21" s="87">
        <f t="shared" si="7"/>
        <v>0</v>
      </c>
      <c r="AJ21" s="90">
        <f t="shared" si="8"/>
        <v>7.6653090462183035E-2</v>
      </c>
      <c r="AL21" s="100">
        <f t="shared" si="9"/>
        <v>316070.21482979169</v>
      </c>
      <c r="AM21" s="101">
        <f t="shared" si="10"/>
        <v>2981039.6991576278</v>
      </c>
      <c r="AN21" s="101">
        <f t="shared" si="21"/>
        <v>12441837.756751582</v>
      </c>
      <c r="AO21" s="101">
        <f t="shared" si="11"/>
        <v>15738947.670739003</v>
      </c>
      <c r="AP21" s="145">
        <f t="shared" si="22"/>
        <v>2.4241575142909377E-2</v>
      </c>
    </row>
    <row r="22" spans="1:42" ht="14.25">
      <c r="A22" s="7" t="s">
        <v>15</v>
      </c>
      <c r="B22" s="156">
        <v>20846</v>
      </c>
      <c r="C22" s="90">
        <f t="shared" si="0"/>
        <v>1.4128090447570063E-5</v>
      </c>
      <c r="D22" s="154"/>
      <c r="E22" s="157">
        <v>1716</v>
      </c>
      <c r="F22" s="189">
        <f t="shared" si="1"/>
        <v>3.6875802897544147E-4</v>
      </c>
      <c r="G22" s="87">
        <f t="shared" si="12"/>
        <v>3.1344432462912525E-4</v>
      </c>
      <c r="H22" s="88">
        <v>720.74</v>
      </c>
      <c r="I22" s="189">
        <f t="shared" si="2"/>
        <v>1.1222959028117967E-2</v>
      </c>
      <c r="J22" s="89">
        <f t="shared" si="13"/>
        <v>1.683443854217695E-3</v>
      </c>
      <c r="K22" s="90">
        <f t="shared" si="14"/>
        <v>1.9968881788468202E-3</v>
      </c>
      <c r="M22" s="91">
        <v>381</v>
      </c>
      <c r="N22" s="92">
        <v>111</v>
      </c>
      <c r="O22" s="92">
        <v>881</v>
      </c>
      <c r="P22" s="92">
        <v>100</v>
      </c>
      <c r="Q22" s="93">
        <f t="shared" si="15"/>
        <v>2.2280128464530736E-4</v>
      </c>
      <c r="R22" s="93">
        <f t="shared" si="3"/>
        <v>3.1547355137955733E-4</v>
      </c>
      <c r="S22" s="93">
        <f t="shared" si="3"/>
        <v>6.5923770869625079E-4</v>
      </c>
      <c r="T22" s="93">
        <f t="shared" si="3"/>
        <v>6.3868380042408609E-4</v>
      </c>
      <c r="U22" s="94">
        <f t="shared" si="16"/>
        <v>1.8361963451452015E-3</v>
      </c>
      <c r="V22" s="95">
        <v>157.99999999728001</v>
      </c>
      <c r="W22" s="95">
        <v>83</v>
      </c>
      <c r="X22" s="95">
        <v>189</v>
      </c>
      <c r="Y22" s="95">
        <v>25</v>
      </c>
      <c r="Z22" s="93">
        <f t="shared" si="17"/>
        <v>1.2426150913221427E-4</v>
      </c>
      <c r="AA22" s="93">
        <f t="shared" si="4"/>
        <v>2.8330739193359002E-4</v>
      </c>
      <c r="AB22" s="93">
        <f t="shared" si="4"/>
        <v>3.8378439845349104E-4</v>
      </c>
      <c r="AC22" s="93">
        <f t="shared" si="4"/>
        <v>4.5534023022002039E-4</v>
      </c>
      <c r="AD22" s="86">
        <f t="shared" si="18"/>
        <v>1.2466935297393157E-3</v>
      </c>
      <c r="AE22" s="97">
        <f t="shared" si="19"/>
        <v>1.0596895002784182E-3</v>
      </c>
      <c r="AF22" s="189">
        <f t="shared" si="5"/>
        <v>-0.32104563162022282</v>
      </c>
      <c r="AG22" s="205">
        <f t="shared" si="6"/>
        <v>-0.32104563162022282</v>
      </c>
      <c r="AH22" s="189">
        <f t="shared" si="20"/>
        <v>5.982377863529921E-2</v>
      </c>
      <c r="AI22" s="87">
        <f t="shared" si="7"/>
        <v>8.9735667952948808E-3</v>
      </c>
      <c r="AJ22" s="90">
        <f t="shared" si="8"/>
        <v>1.0033256295573299E-2</v>
      </c>
      <c r="AL22" s="100">
        <f t="shared" si="9"/>
        <v>4586.3619614423687</v>
      </c>
      <c r="AM22" s="101">
        <f t="shared" si="10"/>
        <v>324122.07504985837</v>
      </c>
      <c r="AN22" s="101">
        <f t="shared" si="21"/>
        <v>1628533.7779435727</v>
      </c>
      <c r="AO22" s="101">
        <f t="shared" si="11"/>
        <v>1957242.2149548735</v>
      </c>
      <c r="AP22" s="145">
        <f t="shared" si="22"/>
        <v>3.0146001638288156E-3</v>
      </c>
    </row>
    <row r="23" spans="1:42" ht="14.25">
      <c r="A23" s="7" t="s">
        <v>16</v>
      </c>
      <c r="B23" s="156">
        <v>185105</v>
      </c>
      <c r="C23" s="90">
        <f t="shared" si="0"/>
        <v>1.2545237370706401E-4</v>
      </c>
      <c r="D23" s="154"/>
      <c r="E23" s="157">
        <v>3345</v>
      </c>
      <c r="F23" s="189">
        <f t="shared" si="1"/>
        <v>7.1882028375457561E-4</v>
      </c>
      <c r="G23" s="87">
        <f t="shared" si="12"/>
        <v>6.1099724119138929E-4</v>
      </c>
      <c r="H23" s="88">
        <v>615.78</v>
      </c>
      <c r="I23" s="189">
        <f t="shared" si="2"/>
        <v>9.5885807785532663E-3</v>
      </c>
      <c r="J23" s="89">
        <f t="shared" si="13"/>
        <v>1.4382871167829899E-3</v>
      </c>
      <c r="K23" s="90">
        <f t="shared" si="14"/>
        <v>2.049284357974379E-3</v>
      </c>
      <c r="M23" s="91">
        <v>519</v>
      </c>
      <c r="N23" s="92">
        <v>176</v>
      </c>
      <c r="O23" s="92">
        <v>1034</v>
      </c>
      <c r="P23" s="92">
        <v>145</v>
      </c>
      <c r="Q23" s="93">
        <f t="shared" si="15"/>
        <v>3.0350096254833211E-4</v>
      </c>
      <c r="R23" s="93">
        <f t="shared" si="3"/>
        <v>5.0021031570091968E-4</v>
      </c>
      <c r="S23" s="93">
        <f t="shared" si="3"/>
        <v>7.7372507467868713E-4</v>
      </c>
      <c r="T23" s="93">
        <f t="shared" si="3"/>
        <v>9.2609151061492478E-4</v>
      </c>
      <c r="U23" s="94">
        <f t="shared" si="16"/>
        <v>2.5035278635428637E-3</v>
      </c>
      <c r="V23" s="95">
        <v>277.00000000287605</v>
      </c>
      <c r="W23" s="95">
        <v>136</v>
      </c>
      <c r="X23" s="95">
        <v>317</v>
      </c>
      <c r="Y23" s="95">
        <v>84</v>
      </c>
      <c r="Z23" s="93">
        <f t="shared" si="17"/>
        <v>2.1785087361122336E-4</v>
      </c>
      <c r="AA23" s="93">
        <f t="shared" si="4"/>
        <v>4.6421452172250896E-4</v>
      </c>
      <c r="AB23" s="93">
        <f t="shared" si="4"/>
        <v>6.4370187465479715E-4</v>
      </c>
      <c r="AC23" s="93">
        <f t="shared" si="4"/>
        <v>1.5299431735392686E-3</v>
      </c>
      <c r="AD23" s="86">
        <f t="shared" si="18"/>
        <v>2.8557104435277978E-3</v>
      </c>
      <c r="AE23" s="97">
        <f t="shared" si="19"/>
        <v>2.4273538769986279E-3</v>
      </c>
      <c r="AF23" s="189">
        <f t="shared" si="5"/>
        <v>0.14067451979006276</v>
      </c>
      <c r="AG23" s="205">
        <f t="shared" si="6"/>
        <v>0</v>
      </c>
      <c r="AH23" s="189">
        <f t="shared" si="20"/>
        <v>0</v>
      </c>
      <c r="AI23" s="87">
        <f t="shared" si="7"/>
        <v>0</v>
      </c>
      <c r="AJ23" s="90">
        <f t="shared" si="8"/>
        <v>2.4273538769986279E-3</v>
      </c>
      <c r="AL23" s="100">
        <f t="shared" si="9"/>
        <v>40725.248530787183</v>
      </c>
      <c r="AM23" s="101">
        <f t="shared" si="10"/>
        <v>332626.68661669921</v>
      </c>
      <c r="AN23" s="101">
        <f t="shared" si="21"/>
        <v>393992.5048519533</v>
      </c>
      <c r="AO23" s="101">
        <f t="shared" si="11"/>
        <v>767344.43999943975</v>
      </c>
      <c r="AP23" s="145">
        <f t="shared" si="22"/>
        <v>1.1818857455967841E-3</v>
      </c>
    </row>
    <row r="24" spans="1:42" ht="14.25">
      <c r="A24" s="7" t="s">
        <v>17</v>
      </c>
      <c r="B24" s="156">
        <v>996526</v>
      </c>
      <c r="C24" s="90">
        <f t="shared" si="0"/>
        <v>6.7538182199727544E-4</v>
      </c>
      <c r="D24" s="154"/>
      <c r="E24" s="157">
        <v>39991</v>
      </c>
      <c r="F24" s="189">
        <f t="shared" si="1"/>
        <v>8.5938242055692785E-3</v>
      </c>
      <c r="G24" s="87">
        <f t="shared" si="12"/>
        <v>7.3047505747338868E-3</v>
      </c>
      <c r="H24" s="88">
        <v>7010.79</v>
      </c>
      <c r="I24" s="189">
        <f t="shared" si="2"/>
        <v>0.1091680896366778</v>
      </c>
      <c r="J24" s="89">
        <f t="shared" si="13"/>
        <v>1.637521344550167E-2</v>
      </c>
      <c r="K24" s="90">
        <f t="shared" si="14"/>
        <v>2.3679964020235558E-2</v>
      </c>
      <c r="M24" s="91">
        <v>6824</v>
      </c>
      <c r="N24" s="92">
        <v>2866</v>
      </c>
      <c r="O24" s="92">
        <v>26645</v>
      </c>
      <c r="P24" s="92">
        <v>2369</v>
      </c>
      <c r="Q24" s="93">
        <f t="shared" si="15"/>
        <v>3.9905405942771066E-3</v>
      </c>
      <c r="R24" s="93">
        <f t="shared" si="15"/>
        <v>8.1454702545388398E-3</v>
      </c>
      <c r="S24" s="93">
        <f t="shared" si="15"/>
        <v>1.9938012200013171E-2</v>
      </c>
      <c r="T24" s="93">
        <f t="shared" si="15"/>
        <v>1.5130419232046598E-2</v>
      </c>
      <c r="U24" s="94">
        <f t="shared" si="16"/>
        <v>4.7204442280875711E-2</v>
      </c>
      <c r="V24" s="95">
        <v>7532.9999999958</v>
      </c>
      <c r="W24" s="95">
        <v>2466</v>
      </c>
      <c r="X24" s="95">
        <v>13627</v>
      </c>
      <c r="Y24" s="95">
        <v>715</v>
      </c>
      <c r="Z24" s="93">
        <f t="shared" si="17"/>
        <v>5.9244427108136877E-3</v>
      </c>
      <c r="AA24" s="93">
        <f t="shared" si="4"/>
        <v>8.4173015482919642E-3</v>
      </c>
      <c r="AB24" s="93">
        <f t="shared" si="4"/>
        <v>2.7671058189024985E-2</v>
      </c>
      <c r="AC24" s="93">
        <f t="shared" si="4"/>
        <v>1.3022730584292583E-2</v>
      </c>
      <c r="AD24" s="86">
        <f t="shared" si="18"/>
        <v>5.5035533032423221E-2</v>
      </c>
      <c r="AE24" s="97">
        <f t="shared" si="19"/>
        <v>4.6780203077559736E-2</v>
      </c>
      <c r="AF24" s="189">
        <f t="shared" si="5"/>
        <v>0.16589732603874402</v>
      </c>
      <c r="AG24" s="205">
        <f t="shared" si="6"/>
        <v>0</v>
      </c>
      <c r="AH24" s="189">
        <f t="shared" si="20"/>
        <v>0</v>
      </c>
      <c r="AI24" s="87">
        <f t="shared" si="7"/>
        <v>0</v>
      </c>
      <c r="AJ24" s="90">
        <f t="shared" si="8"/>
        <v>4.6780203077559736E-2</v>
      </c>
      <c r="AL24" s="100">
        <f t="shared" si="9"/>
        <v>219247.28676908364</v>
      </c>
      <c r="AM24" s="101">
        <f t="shared" si="10"/>
        <v>3843579.8041415988</v>
      </c>
      <c r="AN24" s="101">
        <f t="shared" si="21"/>
        <v>7593062.3724301867</v>
      </c>
      <c r="AO24" s="101">
        <f t="shared" si="11"/>
        <v>11655889.463340869</v>
      </c>
      <c r="AP24" s="145">
        <f t="shared" si="22"/>
        <v>1.7952732685447465E-2</v>
      </c>
    </row>
    <row r="25" spans="1:42" ht="14.25">
      <c r="A25" s="7" t="s">
        <v>18</v>
      </c>
      <c r="B25" s="156">
        <v>11830529.32</v>
      </c>
      <c r="C25" s="90">
        <f t="shared" si="0"/>
        <v>8.0179789060534183E-3</v>
      </c>
      <c r="D25" s="154"/>
      <c r="E25" s="157">
        <v>143668</v>
      </c>
      <c r="F25" s="189">
        <f t="shared" si="1"/>
        <v>3.0873384910748092E-2</v>
      </c>
      <c r="G25" s="87">
        <f t="shared" si="12"/>
        <v>2.6242377174135877E-2</v>
      </c>
      <c r="H25" s="88">
        <v>1040.01</v>
      </c>
      <c r="I25" s="189">
        <f t="shared" si="2"/>
        <v>1.6194452394529189E-2</v>
      </c>
      <c r="J25" s="89">
        <f t="shared" si="13"/>
        <v>2.4291678591793781E-3</v>
      </c>
      <c r="K25" s="90">
        <f t="shared" si="14"/>
        <v>2.8671545033315253E-2</v>
      </c>
      <c r="M25" s="91">
        <v>3671</v>
      </c>
      <c r="N25" s="92">
        <v>1263</v>
      </c>
      <c r="O25" s="92">
        <v>9334</v>
      </c>
      <c r="P25" s="92">
        <v>932</v>
      </c>
      <c r="Q25" s="93">
        <f t="shared" si="15"/>
        <v>2.1467283882753894E-3</v>
      </c>
      <c r="R25" s="93">
        <f t="shared" si="15"/>
        <v>3.5895774359673955E-3</v>
      </c>
      <c r="S25" s="93">
        <f t="shared" si="15"/>
        <v>6.9844776083664078E-3</v>
      </c>
      <c r="T25" s="93">
        <f t="shared" si="15"/>
        <v>5.9525330199524818E-3</v>
      </c>
      <c r="U25" s="94">
        <f t="shared" si="16"/>
        <v>1.8673316452561674E-2</v>
      </c>
      <c r="V25" s="95">
        <v>8688.9999999445354</v>
      </c>
      <c r="W25" s="95">
        <v>1809</v>
      </c>
      <c r="X25" s="95">
        <v>2369</v>
      </c>
      <c r="Y25" s="95">
        <v>783</v>
      </c>
      <c r="Z25" s="93">
        <f t="shared" si="17"/>
        <v>6.8335965370981333E-3</v>
      </c>
      <c r="AA25" s="93">
        <f t="shared" si="4"/>
        <v>6.1747358073236669E-3</v>
      </c>
      <c r="AB25" s="93">
        <f t="shared" si="4"/>
        <v>4.8105039150069849E-3</v>
      </c>
      <c r="AC25" s="93">
        <f t="shared" si="4"/>
        <v>1.4261256010491039E-2</v>
      </c>
      <c r="AD25" s="86">
        <f t="shared" si="18"/>
        <v>3.2080092269919827E-2</v>
      </c>
      <c r="AE25" s="97">
        <f t="shared" si="19"/>
        <v>2.7268078429431852E-2</v>
      </c>
      <c r="AF25" s="189">
        <f t="shared" si="5"/>
        <v>0.71796436650217865</v>
      </c>
      <c r="AG25" s="205">
        <f t="shared" si="6"/>
        <v>0</v>
      </c>
      <c r="AH25" s="189">
        <f t="shared" si="20"/>
        <v>0</v>
      </c>
      <c r="AI25" s="87">
        <f t="shared" si="7"/>
        <v>0</v>
      </c>
      <c r="AJ25" s="90">
        <f t="shared" si="8"/>
        <v>2.7268078429431852E-2</v>
      </c>
      <c r="AL25" s="100">
        <f t="shared" si="9"/>
        <v>2602853.7684436659</v>
      </c>
      <c r="AM25" s="101">
        <f t="shared" si="10"/>
        <v>4653781.2029365841</v>
      </c>
      <c r="AN25" s="101">
        <f t="shared" si="21"/>
        <v>4425979.5099161165</v>
      </c>
      <c r="AO25" s="101">
        <f t="shared" si="11"/>
        <v>11682614.481296368</v>
      </c>
      <c r="AP25" s="145">
        <f t="shared" si="22"/>
        <v>1.7993895318713492E-2</v>
      </c>
    </row>
    <row r="26" spans="1:42" ht="14.25">
      <c r="A26" s="7" t="s">
        <v>19</v>
      </c>
      <c r="B26" s="156">
        <v>684102</v>
      </c>
      <c r="C26" s="90">
        <f t="shared" si="0"/>
        <v>4.6364074313362638E-4</v>
      </c>
      <c r="D26" s="154"/>
      <c r="E26" s="157">
        <v>5527</v>
      </c>
      <c r="F26" s="189">
        <f t="shared" si="1"/>
        <v>1.1877188963562151E-3</v>
      </c>
      <c r="G26" s="87">
        <f t="shared" si="12"/>
        <v>1.0095610619027828E-3</v>
      </c>
      <c r="H26" s="88">
        <v>1894.8</v>
      </c>
      <c r="I26" s="189">
        <f t="shared" si="2"/>
        <v>2.9504762836082252E-2</v>
      </c>
      <c r="J26" s="89">
        <f t="shared" si="13"/>
        <v>4.425714425412338E-3</v>
      </c>
      <c r="K26" s="90">
        <f t="shared" si="14"/>
        <v>5.4352754873151204E-3</v>
      </c>
      <c r="M26" s="91">
        <v>814</v>
      </c>
      <c r="N26" s="92">
        <v>270</v>
      </c>
      <c r="O26" s="92">
        <v>1738</v>
      </c>
      <c r="P26" s="92">
        <v>531</v>
      </c>
      <c r="Q26" s="93">
        <f t="shared" si="15"/>
        <v>4.760111435729139E-4</v>
      </c>
      <c r="R26" s="93">
        <f t="shared" si="15"/>
        <v>7.6736809795027456E-4</v>
      </c>
      <c r="S26" s="93">
        <f t="shared" si="15"/>
        <v>1.3005166148854527E-3</v>
      </c>
      <c r="T26" s="93">
        <f t="shared" si="15"/>
        <v>3.3914109802518971E-3</v>
      </c>
      <c r="U26" s="94">
        <f t="shared" si="16"/>
        <v>5.9353068366605382E-3</v>
      </c>
      <c r="V26" s="95">
        <v>320.00000000721394</v>
      </c>
      <c r="W26" s="95">
        <v>216</v>
      </c>
      <c r="X26" s="95">
        <v>671</v>
      </c>
      <c r="Y26" s="95">
        <v>199</v>
      </c>
      <c r="Z26" s="93">
        <f t="shared" si="17"/>
        <v>2.5166887926512352E-4</v>
      </c>
      <c r="AA26" s="93">
        <f t="shared" si="4"/>
        <v>7.372818874416319E-4</v>
      </c>
      <c r="AB26" s="93">
        <f t="shared" si="4"/>
        <v>1.3625361447740343E-3</v>
      </c>
      <c r="AC26" s="93">
        <f t="shared" si="4"/>
        <v>3.6245082325513625E-3</v>
      </c>
      <c r="AD26" s="86">
        <f t="shared" si="18"/>
        <v>5.9759951440321521E-3</v>
      </c>
      <c r="AE26" s="97">
        <f t="shared" si="19"/>
        <v>5.0795958724273293E-3</v>
      </c>
      <c r="AF26" s="189">
        <f t="shared" si="5"/>
        <v>6.8552997328284624E-3</v>
      </c>
      <c r="AG26" s="205">
        <f t="shared" si="6"/>
        <v>0</v>
      </c>
      <c r="AH26" s="189">
        <f t="shared" si="20"/>
        <v>0</v>
      </c>
      <c r="AI26" s="87">
        <f t="shared" si="7"/>
        <v>0</v>
      </c>
      <c r="AJ26" s="90">
        <f t="shared" si="8"/>
        <v>5.0795958724273293E-3</v>
      </c>
      <c r="AL26" s="100">
        <f t="shared" si="9"/>
        <v>150510.38043493463</v>
      </c>
      <c r="AM26" s="101">
        <f t="shared" si="10"/>
        <v>882219.03864119423</v>
      </c>
      <c r="AN26" s="101">
        <f t="shared" si="21"/>
        <v>824487.40596813185</v>
      </c>
      <c r="AO26" s="101">
        <f t="shared" si="11"/>
        <v>1857216.8250442608</v>
      </c>
      <c r="AP26" s="145">
        <f t="shared" si="22"/>
        <v>2.8605382115024264E-3</v>
      </c>
    </row>
    <row r="27" spans="1:42" ht="14.25">
      <c r="A27" s="7" t="s">
        <v>20</v>
      </c>
      <c r="B27" s="156">
        <v>48581132.430000007</v>
      </c>
      <c r="C27" s="90">
        <f t="shared" si="0"/>
        <v>3.2925195865701778E-2</v>
      </c>
      <c r="D27" s="154"/>
      <c r="E27" s="157">
        <v>357937</v>
      </c>
      <c r="F27" s="189">
        <f t="shared" si="1"/>
        <v>7.6918498028777746E-2</v>
      </c>
      <c r="G27" s="87">
        <f t="shared" si="12"/>
        <v>6.5380723324461085E-2</v>
      </c>
      <c r="H27" s="88">
        <v>151.27000000000001</v>
      </c>
      <c r="I27" s="189">
        <f t="shared" si="2"/>
        <v>2.3554915950043079E-3</v>
      </c>
      <c r="J27" s="89">
        <f t="shared" si="13"/>
        <v>3.5332373925064616E-4</v>
      </c>
      <c r="K27" s="90">
        <f t="shared" si="14"/>
        <v>6.5734047063711734E-2</v>
      </c>
      <c r="M27" s="91">
        <v>25525</v>
      </c>
      <c r="N27" s="92">
        <v>4815</v>
      </c>
      <c r="O27" s="92">
        <v>33044</v>
      </c>
      <c r="P27" s="92">
        <v>5258</v>
      </c>
      <c r="Q27" s="93">
        <f t="shared" si="15"/>
        <v>1.4926516510686275E-2</v>
      </c>
      <c r="R27" s="93">
        <f t="shared" si="15"/>
        <v>1.3684731080113229E-2</v>
      </c>
      <c r="S27" s="93">
        <f t="shared" si="15"/>
        <v>2.4726277918455063E-2</v>
      </c>
      <c r="T27" s="93">
        <f t="shared" si="15"/>
        <v>3.3581994226298442E-2</v>
      </c>
      <c r="U27" s="94">
        <f t="shared" si="16"/>
        <v>8.6919519735553008E-2</v>
      </c>
      <c r="V27" s="95">
        <v>20136.00000070727</v>
      </c>
      <c r="W27" s="95">
        <v>4791</v>
      </c>
      <c r="X27" s="95">
        <v>5994</v>
      </c>
      <c r="Y27" s="95">
        <v>875</v>
      </c>
      <c r="Z27" s="93">
        <f t="shared" si="17"/>
        <v>1.5836264227957138E-2</v>
      </c>
      <c r="AA27" s="93">
        <f t="shared" si="4"/>
        <v>1.6353321864503972E-2</v>
      </c>
      <c r="AB27" s="93">
        <f t="shared" si="4"/>
        <v>1.2171448065239286E-2</v>
      </c>
      <c r="AC27" s="93">
        <f t="shared" si="4"/>
        <v>1.5936908057700715E-2</v>
      </c>
      <c r="AD27" s="86">
        <f t="shared" si="18"/>
        <v>6.0297942215401121E-2</v>
      </c>
      <c r="AE27" s="97">
        <f t="shared" si="19"/>
        <v>5.1253250883090955E-2</v>
      </c>
      <c r="AF27" s="189">
        <f t="shared" si="5"/>
        <v>-0.30627847002774872</v>
      </c>
      <c r="AG27" s="205">
        <f t="shared" si="6"/>
        <v>-0.30627847002774872</v>
      </c>
      <c r="AH27" s="189">
        <f t="shared" si="20"/>
        <v>5.7072059505151061E-2</v>
      </c>
      <c r="AI27" s="87">
        <f t="shared" si="7"/>
        <v>8.5608089257726595E-3</v>
      </c>
      <c r="AJ27" s="90">
        <f t="shared" si="8"/>
        <v>5.9814059808863618E-2</v>
      </c>
      <c r="AL27" s="100">
        <f t="shared" si="9"/>
        <v>10688413.020279493</v>
      </c>
      <c r="AM27" s="101">
        <f t="shared" si="10"/>
        <v>10669528.700409846</v>
      </c>
      <c r="AN27" s="101">
        <f t="shared" si="21"/>
        <v>9708634.358084593</v>
      </c>
      <c r="AO27" s="101">
        <f t="shared" si="11"/>
        <v>31066576.078773934</v>
      </c>
      <c r="AP27" s="145">
        <f t="shared" si="22"/>
        <v>4.7849624650994745E-2</v>
      </c>
    </row>
    <row r="28" spans="1:42" ht="14.25">
      <c r="A28" s="7" t="s">
        <v>21</v>
      </c>
      <c r="B28" s="156">
        <v>856972.8600000001</v>
      </c>
      <c r="C28" s="90">
        <f t="shared" si="0"/>
        <v>5.8080159633468284E-4</v>
      </c>
      <c r="D28" s="154"/>
      <c r="E28" s="157">
        <v>14437</v>
      </c>
      <c r="F28" s="189">
        <f t="shared" si="1"/>
        <v>3.1024240468056226E-3</v>
      </c>
      <c r="G28" s="87">
        <f t="shared" si="12"/>
        <v>2.637060439784779E-3</v>
      </c>
      <c r="H28" s="88">
        <v>2479.16</v>
      </c>
      <c r="I28" s="189">
        <f t="shared" si="2"/>
        <v>3.8604088997625963E-2</v>
      </c>
      <c r="J28" s="89">
        <f t="shared" si="13"/>
        <v>5.7906133496438946E-3</v>
      </c>
      <c r="K28" s="90">
        <f t="shared" si="14"/>
        <v>8.4276737894286736E-3</v>
      </c>
      <c r="M28" s="91">
        <v>3166</v>
      </c>
      <c r="N28" s="92">
        <v>724</v>
      </c>
      <c r="O28" s="92">
        <v>6502</v>
      </c>
      <c r="P28" s="92">
        <v>971</v>
      </c>
      <c r="Q28" s="93">
        <f t="shared" si="15"/>
        <v>1.8514143495722917E-3</v>
      </c>
      <c r="R28" s="93">
        <f t="shared" si="15"/>
        <v>2.0576833441333289E-3</v>
      </c>
      <c r="S28" s="93">
        <f t="shared" si="15"/>
        <v>4.8653389125346454E-3</v>
      </c>
      <c r="T28" s="93">
        <f t="shared" si="15"/>
        <v>6.2016197021178754E-3</v>
      </c>
      <c r="U28" s="94">
        <f t="shared" si="16"/>
        <v>1.4976056308358143E-2</v>
      </c>
      <c r="V28" s="95">
        <v>1684.0000000044001</v>
      </c>
      <c r="W28" s="95">
        <v>572</v>
      </c>
      <c r="X28" s="95">
        <v>3480</v>
      </c>
      <c r="Y28" s="95">
        <v>459</v>
      </c>
      <c r="Z28" s="93">
        <f t="shared" si="17"/>
        <v>1.3244074771063164E-3</v>
      </c>
      <c r="AA28" s="93">
        <f t="shared" si="4"/>
        <v>1.9524316648917288E-3</v>
      </c>
      <c r="AB28" s="93">
        <f t="shared" si="4"/>
        <v>7.0665063842230095E-3</v>
      </c>
      <c r="AC28" s="93">
        <f t="shared" si="4"/>
        <v>8.3600466268395745E-3</v>
      </c>
      <c r="AD28" s="86">
        <f t="shared" si="18"/>
        <v>1.8703392153060629E-2</v>
      </c>
      <c r="AE28" s="97">
        <f t="shared" si="19"/>
        <v>1.5897883330101534E-2</v>
      </c>
      <c r="AF28" s="189">
        <f t="shared" si="5"/>
        <v>0.24888634016568562</v>
      </c>
      <c r="AG28" s="205">
        <f t="shared" si="6"/>
        <v>0</v>
      </c>
      <c r="AH28" s="189">
        <f t="shared" si="20"/>
        <v>0</v>
      </c>
      <c r="AI28" s="87">
        <f t="shared" si="7"/>
        <v>0</v>
      </c>
      <c r="AJ28" s="90">
        <f t="shared" si="8"/>
        <v>1.5897883330101534E-2</v>
      </c>
      <c r="AL28" s="100">
        <f t="shared" si="9"/>
        <v>188543.97616293182</v>
      </c>
      <c r="AM28" s="101">
        <f t="shared" si="10"/>
        <v>1367925.9286568512</v>
      </c>
      <c r="AN28" s="101">
        <f t="shared" si="21"/>
        <v>2580442.4045560607</v>
      </c>
      <c r="AO28" s="101">
        <f t="shared" si="11"/>
        <v>4136912.309375844</v>
      </c>
      <c r="AP28" s="145">
        <f t="shared" si="22"/>
        <v>6.3717900780498951E-3</v>
      </c>
    </row>
    <row r="29" spans="1:42" ht="14.25">
      <c r="A29" s="7" t="s">
        <v>22</v>
      </c>
      <c r="B29" s="156">
        <v>72801</v>
      </c>
      <c r="C29" s="90">
        <f t="shared" si="0"/>
        <v>4.9339878762042988E-5</v>
      </c>
      <c r="D29" s="154"/>
      <c r="E29" s="157">
        <v>1277</v>
      </c>
      <c r="F29" s="189">
        <f t="shared" si="1"/>
        <v>2.7441958216878717E-4</v>
      </c>
      <c r="G29" s="87">
        <f t="shared" si="12"/>
        <v>2.3325664484346909E-4</v>
      </c>
      <c r="H29" s="88">
        <v>388.05</v>
      </c>
      <c r="I29" s="189">
        <f t="shared" si="2"/>
        <v>6.0424969487765032E-3</v>
      </c>
      <c r="J29" s="89">
        <f t="shared" si="13"/>
        <v>9.0637454231647541E-4</v>
      </c>
      <c r="K29" s="90">
        <f t="shared" si="14"/>
        <v>1.1396311871599446E-3</v>
      </c>
      <c r="M29" s="91">
        <v>248</v>
      </c>
      <c r="N29" s="92">
        <v>63</v>
      </c>
      <c r="O29" s="92">
        <v>357</v>
      </c>
      <c r="P29" s="92">
        <v>74</v>
      </c>
      <c r="Q29" s="93">
        <f t="shared" si="15"/>
        <v>1.4502550811558066E-4</v>
      </c>
      <c r="R29" s="93">
        <f t="shared" si="15"/>
        <v>1.7905255618839739E-4</v>
      </c>
      <c r="S29" s="93">
        <f t="shared" si="15"/>
        <v>2.6713718729235136E-4</v>
      </c>
      <c r="T29" s="93">
        <f t="shared" si="15"/>
        <v>4.7262601231382365E-4</v>
      </c>
      <c r="U29" s="94">
        <f t="shared" si="16"/>
        <v>1.0638412639101531E-3</v>
      </c>
      <c r="V29" s="95">
        <v>138</v>
      </c>
      <c r="W29" s="95">
        <v>45</v>
      </c>
      <c r="X29" s="95">
        <v>165</v>
      </c>
      <c r="Y29" s="95">
        <v>30</v>
      </c>
      <c r="Z29" s="93">
        <f t="shared" si="17"/>
        <v>1.0853220418063782E-4</v>
      </c>
      <c r="AA29" s="93">
        <f t="shared" si="4"/>
        <v>1.5360039321700664E-4</v>
      </c>
      <c r="AB29" s="93">
        <f t="shared" si="4"/>
        <v>3.3504987166574612E-4</v>
      </c>
      <c r="AC29" s="93">
        <f t="shared" si="4"/>
        <v>5.4640827626402453E-4</v>
      </c>
      <c r="AD29" s="86">
        <f t="shared" si="18"/>
        <v>1.1435907453274151E-3</v>
      </c>
      <c r="AE29" s="97">
        <f t="shared" si="19"/>
        <v>9.7205213352830283E-4</v>
      </c>
      <c r="AF29" s="189">
        <f t="shared" si="5"/>
        <v>7.4963703818126448E-2</v>
      </c>
      <c r="AG29" s="205">
        <f t="shared" si="6"/>
        <v>0</v>
      </c>
      <c r="AH29" s="189">
        <f t="shared" si="20"/>
        <v>0</v>
      </c>
      <c r="AI29" s="87">
        <f t="shared" si="7"/>
        <v>0</v>
      </c>
      <c r="AJ29" s="90">
        <f t="shared" si="8"/>
        <v>9.7205213352830283E-4</v>
      </c>
      <c r="AL29" s="100">
        <f t="shared" si="9"/>
        <v>16017.06500791355</v>
      </c>
      <c r="AM29" s="101">
        <f t="shared" si="10"/>
        <v>184977.62122420254</v>
      </c>
      <c r="AN29" s="101">
        <f t="shared" si="21"/>
        <v>157777.26460265846</v>
      </c>
      <c r="AO29" s="101">
        <f t="shared" si="11"/>
        <v>358771.95083477453</v>
      </c>
      <c r="AP29" s="145">
        <f t="shared" si="22"/>
        <v>5.5259076955308341E-4</v>
      </c>
    </row>
    <row r="30" spans="1:42" ht="14.25">
      <c r="A30" s="7" t="s">
        <v>23</v>
      </c>
      <c r="B30" s="156">
        <v>160188</v>
      </c>
      <c r="C30" s="90">
        <f t="shared" si="0"/>
        <v>1.085652188724625E-4</v>
      </c>
      <c r="D30" s="154"/>
      <c r="E30" s="157">
        <v>5942</v>
      </c>
      <c r="F30" s="189">
        <f t="shared" si="1"/>
        <v>1.2768998882121639E-3</v>
      </c>
      <c r="G30" s="87">
        <f t="shared" si="12"/>
        <v>1.0853649049803393E-3</v>
      </c>
      <c r="H30" s="88">
        <v>1314.52</v>
      </c>
      <c r="I30" s="189">
        <f t="shared" si="2"/>
        <v>2.0468968146129852E-2</v>
      </c>
      <c r="J30" s="89">
        <f t="shared" si="13"/>
        <v>3.0703452219194775E-3</v>
      </c>
      <c r="K30" s="90">
        <f t="shared" si="14"/>
        <v>4.155710126899817E-3</v>
      </c>
      <c r="M30" s="91">
        <v>1391</v>
      </c>
      <c r="N30" s="92">
        <v>407</v>
      </c>
      <c r="O30" s="92">
        <v>3581</v>
      </c>
      <c r="P30" s="92">
        <v>1264</v>
      </c>
      <c r="Q30" s="93">
        <f t="shared" si="15"/>
        <v>8.1342936205150277E-4</v>
      </c>
      <c r="R30" s="93">
        <f t="shared" si="15"/>
        <v>1.1567363550583768E-3</v>
      </c>
      <c r="S30" s="93">
        <f t="shared" si="15"/>
        <v>2.6796029907392442E-3</v>
      </c>
      <c r="T30" s="93">
        <f t="shared" si="15"/>
        <v>8.072963237360448E-3</v>
      </c>
      <c r="U30" s="94">
        <f t="shared" si="16"/>
        <v>1.2722731945209571E-2</v>
      </c>
      <c r="V30" s="95">
        <v>1108.99999999377</v>
      </c>
      <c r="W30" s="95">
        <v>288</v>
      </c>
      <c r="X30" s="95">
        <v>3319</v>
      </c>
      <c r="Y30" s="95">
        <v>607</v>
      </c>
      <c r="Z30" s="93">
        <f t="shared" si="17"/>
        <v>8.721899596786318E-4</v>
      </c>
      <c r="AA30" s="93">
        <f t="shared" si="4"/>
        <v>9.8304251658884239E-4</v>
      </c>
      <c r="AB30" s="93">
        <f t="shared" si="4"/>
        <v>6.739578933688554E-3</v>
      </c>
      <c r="AC30" s="93">
        <f t="shared" si="4"/>
        <v>1.1055660789742095E-2</v>
      </c>
      <c r="AD30" s="86">
        <f t="shared" si="18"/>
        <v>1.9650472199698121E-2</v>
      </c>
      <c r="AE30" s="97">
        <f t="shared" si="19"/>
        <v>1.6702901369743402E-2</v>
      </c>
      <c r="AF30" s="189">
        <f t="shared" si="5"/>
        <v>0.54451671891877107</v>
      </c>
      <c r="AG30" s="205">
        <f t="shared" si="6"/>
        <v>0</v>
      </c>
      <c r="AH30" s="189">
        <f t="shared" si="20"/>
        <v>0</v>
      </c>
      <c r="AI30" s="87">
        <f t="shared" si="7"/>
        <v>0</v>
      </c>
      <c r="AJ30" s="90">
        <f t="shared" si="8"/>
        <v>1.6702901369743402E-2</v>
      </c>
      <c r="AL30" s="100">
        <f t="shared" si="9"/>
        <v>35243.21931687279</v>
      </c>
      <c r="AM30" s="101">
        <f t="shared" si="10"/>
        <v>674528.20037941798</v>
      </c>
      <c r="AN30" s="101">
        <f t="shared" si="21"/>
        <v>2711107.7669059807</v>
      </c>
      <c r="AO30" s="101">
        <f t="shared" si="11"/>
        <v>3420879.1866022712</v>
      </c>
      <c r="AP30" s="145">
        <f t="shared" si="22"/>
        <v>5.2689354835970372E-3</v>
      </c>
    </row>
    <row r="31" spans="1:42" ht="14.25">
      <c r="A31" s="7" t="s">
        <v>24</v>
      </c>
      <c r="B31" s="156">
        <v>1739482.13</v>
      </c>
      <c r="C31" s="90">
        <f t="shared" si="0"/>
        <v>1.1789101441318155E-3</v>
      </c>
      <c r="D31" s="154"/>
      <c r="E31" s="157">
        <v>55213</v>
      </c>
      <c r="F31" s="189">
        <f t="shared" si="1"/>
        <v>1.1864940008054225E-2</v>
      </c>
      <c r="G31" s="87">
        <f t="shared" si="12"/>
        <v>1.0085199006846091E-2</v>
      </c>
      <c r="H31" s="88">
        <v>184.87</v>
      </c>
      <c r="I31" s="189">
        <f t="shared" si="2"/>
        <v>2.8786919492856905E-3</v>
      </c>
      <c r="J31" s="89">
        <f t="shared" si="13"/>
        <v>4.3180379239285356E-4</v>
      </c>
      <c r="K31" s="90">
        <f t="shared" si="14"/>
        <v>1.0517002799238945E-2</v>
      </c>
      <c r="M31" s="91">
        <v>870</v>
      </c>
      <c r="N31" s="92">
        <v>295</v>
      </c>
      <c r="O31" s="92">
        <v>1873</v>
      </c>
      <c r="P31" s="92">
        <v>57</v>
      </c>
      <c r="Q31" s="93">
        <f t="shared" si="15"/>
        <v>5.0875883895385148E-4</v>
      </c>
      <c r="R31" s="93">
        <f t="shared" si="15"/>
        <v>8.3842069961233702E-4</v>
      </c>
      <c r="S31" s="93">
        <f t="shared" si="15"/>
        <v>1.4015348789876024E-3</v>
      </c>
      <c r="T31" s="93">
        <f t="shared" si="15"/>
        <v>3.6404976624172905E-4</v>
      </c>
      <c r="U31" s="94">
        <f t="shared" si="16"/>
        <v>3.1127641837955201E-3</v>
      </c>
      <c r="V31" s="95">
        <v>2629.9999999954803</v>
      </c>
      <c r="W31" s="95">
        <v>513</v>
      </c>
      <c r="X31" s="95">
        <v>350</v>
      </c>
      <c r="Y31" s="95">
        <v>123</v>
      </c>
      <c r="Z31" s="93">
        <f t="shared" si="17"/>
        <v>2.0684036014100501E-3</v>
      </c>
      <c r="AA31" s="93">
        <f t="shared" si="4"/>
        <v>1.7510444826738757E-3</v>
      </c>
      <c r="AB31" s="93">
        <f t="shared" si="4"/>
        <v>7.1071184898794629E-4</v>
      </c>
      <c r="AC31" s="93">
        <f t="shared" si="4"/>
        <v>2.2402739326825003E-3</v>
      </c>
      <c r="AD31" s="86">
        <f t="shared" si="18"/>
        <v>6.770433865754372E-3</v>
      </c>
      <c r="AE31" s="97">
        <f t="shared" si="19"/>
        <v>5.7548687858912165E-3</v>
      </c>
      <c r="AF31" s="189">
        <f t="shared" si="5"/>
        <v>1.1750551811794834</v>
      </c>
      <c r="AG31" s="205">
        <f t="shared" si="6"/>
        <v>0</v>
      </c>
      <c r="AH31" s="189">
        <f t="shared" si="20"/>
        <v>0</v>
      </c>
      <c r="AI31" s="87">
        <f t="shared" si="7"/>
        <v>0</v>
      </c>
      <c r="AJ31" s="90">
        <f t="shared" si="8"/>
        <v>5.7548687858912165E-3</v>
      </c>
      <c r="AL31" s="100">
        <f t="shared" si="9"/>
        <v>382706.2589293269</v>
      </c>
      <c r="AM31" s="101">
        <f t="shared" si="10"/>
        <v>1707052.4061908335</v>
      </c>
      <c r="AN31" s="101">
        <f t="shared" si="21"/>
        <v>934093.37201840605</v>
      </c>
      <c r="AO31" s="101">
        <f t="shared" si="11"/>
        <v>3023852.0371385664</v>
      </c>
      <c r="AP31" s="145">
        <f t="shared" si="22"/>
        <v>4.6574229683484488E-3</v>
      </c>
    </row>
    <row r="32" spans="1:42" ht="14.25">
      <c r="A32" s="7" t="s">
        <v>25</v>
      </c>
      <c r="B32" s="156">
        <v>146894634.34999999</v>
      </c>
      <c r="C32" s="90">
        <f t="shared" si="0"/>
        <v>9.9555822717045578E-2</v>
      </c>
      <c r="D32" s="154"/>
      <c r="E32" s="157">
        <v>678006</v>
      </c>
      <c r="F32" s="189">
        <f t="shared" si="1"/>
        <v>0.14569939172116736</v>
      </c>
      <c r="G32" s="87">
        <f t="shared" si="12"/>
        <v>0.12384448296299225</v>
      </c>
      <c r="H32" s="88">
        <v>117.79</v>
      </c>
      <c r="I32" s="189">
        <f t="shared" si="2"/>
        <v>1.8341598134167874E-3</v>
      </c>
      <c r="J32" s="89">
        <f t="shared" si="13"/>
        <v>2.7512397201251811E-4</v>
      </c>
      <c r="K32" s="90">
        <f t="shared" si="14"/>
        <v>0.12411960693500476</v>
      </c>
      <c r="M32" s="91">
        <v>69698</v>
      </c>
      <c r="N32" s="92">
        <v>12447</v>
      </c>
      <c r="O32" s="92">
        <v>14729</v>
      </c>
      <c r="P32" s="92">
        <v>1417</v>
      </c>
      <c r="Q32" s="93">
        <f t="shared" si="15"/>
        <v>4.0758015583224762E-2</v>
      </c>
      <c r="R32" s="93">
        <f t="shared" si="15"/>
        <v>3.5375669315507653E-2</v>
      </c>
      <c r="S32" s="93">
        <f t="shared" si="15"/>
        <v>1.1021466755263425E-2</v>
      </c>
      <c r="T32" s="93">
        <f t="shared" si="15"/>
        <v>9.0501494520092984E-3</v>
      </c>
      <c r="U32" s="94">
        <f t="shared" si="16"/>
        <v>9.6205301106005142E-2</v>
      </c>
      <c r="V32" s="95">
        <v>32769.999999791457</v>
      </c>
      <c r="W32" s="95">
        <v>9468</v>
      </c>
      <c r="X32" s="95">
        <v>3881</v>
      </c>
      <c r="Y32" s="95">
        <v>299</v>
      </c>
      <c r="Z32" s="93">
        <f t="shared" si="17"/>
        <v>2.5772466166499041E-2</v>
      </c>
      <c r="AA32" s="93">
        <f t="shared" si="4"/>
        <v>3.2317522732858199E-2</v>
      </c>
      <c r="AB32" s="93">
        <f t="shared" si="4"/>
        <v>7.8807791026349137E-3</v>
      </c>
      <c r="AC32" s="93">
        <f t="shared" si="4"/>
        <v>5.4458691534314436E-3</v>
      </c>
      <c r="AD32" s="86">
        <f t="shared" si="18"/>
        <v>7.1416637155423596E-2</v>
      </c>
      <c r="AE32" s="97">
        <f t="shared" si="19"/>
        <v>6.0704141582110058E-2</v>
      </c>
      <c r="AF32" s="189">
        <f t="shared" si="5"/>
        <v>-0.25766422084441909</v>
      </c>
      <c r="AG32" s="205">
        <f t="shared" si="6"/>
        <v>-0.25766422084441909</v>
      </c>
      <c r="AH32" s="189">
        <f t="shared" si="20"/>
        <v>4.80132597732017E-2</v>
      </c>
      <c r="AI32" s="87">
        <f t="shared" si="7"/>
        <v>7.2019889659802544E-3</v>
      </c>
      <c r="AJ32" s="90">
        <f t="shared" si="8"/>
        <v>6.7906130548090318E-2</v>
      </c>
      <c r="AL32" s="100">
        <f t="shared" si="9"/>
        <v>32318524.57655308</v>
      </c>
      <c r="AM32" s="101">
        <f t="shared" si="10"/>
        <v>20146298.115390137</v>
      </c>
      <c r="AN32" s="101">
        <f t="shared" si="21"/>
        <v>11022087.353215771</v>
      </c>
      <c r="AO32" s="101">
        <f t="shared" si="11"/>
        <v>63486910.045158982</v>
      </c>
      <c r="AP32" s="145">
        <f t="shared" si="22"/>
        <v>9.7784345729296562E-2</v>
      </c>
    </row>
    <row r="33" spans="1:42" ht="14.25">
      <c r="A33" s="7" t="s">
        <v>26</v>
      </c>
      <c r="B33" s="156">
        <v>83778.48000000001</v>
      </c>
      <c r="C33" s="90">
        <f t="shared" si="0"/>
        <v>5.6779715197157234E-5</v>
      </c>
      <c r="D33" s="154"/>
      <c r="E33" s="157">
        <v>2030</v>
      </c>
      <c r="F33" s="189">
        <f t="shared" si="1"/>
        <v>4.3623473124717146E-4</v>
      </c>
      <c r="G33" s="87">
        <f t="shared" si="12"/>
        <v>3.7079952156009573E-4</v>
      </c>
      <c r="H33" s="88">
        <v>497.27</v>
      </c>
      <c r="I33" s="189">
        <f t="shared" si="2"/>
        <v>7.743209528973307E-3</v>
      </c>
      <c r="J33" s="89">
        <f t="shared" si="13"/>
        <v>1.1614814293459961E-3</v>
      </c>
      <c r="K33" s="90">
        <f t="shared" si="14"/>
        <v>1.5322809509060917E-3</v>
      </c>
      <c r="M33" s="91">
        <v>525</v>
      </c>
      <c r="N33" s="92">
        <v>111</v>
      </c>
      <c r="O33" s="92">
        <v>654</v>
      </c>
      <c r="P33" s="92">
        <v>69</v>
      </c>
      <c r="Q33" s="93">
        <f t="shared" si="15"/>
        <v>3.070096441962897E-4</v>
      </c>
      <c r="R33" s="93">
        <f t="shared" si="15"/>
        <v>3.1547355137955733E-4</v>
      </c>
      <c r="S33" s="93">
        <f t="shared" si="15"/>
        <v>4.8937736831708065E-4</v>
      </c>
      <c r="T33" s="93">
        <f t="shared" si="15"/>
        <v>4.4069182229261936E-4</v>
      </c>
      <c r="U33" s="94">
        <f t="shared" si="16"/>
        <v>1.5525523861855471E-3</v>
      </c>
      <c r="V33" s="95">
        <v>374.99999999594002</v>
      </c>
      <c r="W33" s="95">
        <v>98</v>
      </c>
      <c r="X33" s="95">
        <v>163</v>
      </c>
      <c r="Y33" s="95">
        <v>24</v>
      </c>
      <c r="Z33" s="93">
        <f t="shared" si="17"/>
        <v>2.9492446787897499E-4</v>
      </c>
      <c r="AA33" s="93">
        <f t="shared" si="4"/>
        <v>3.3450752300592557E-4</v>
      </c>
      <c r="AB33" s="93">
        <f t="shared" si="4"/>
        <v>3.3098866110010071E-4</v>
      </c>
      <c r="AC33" s="93">
        <f t="shared" si="4"/>
        <v>4.3712662101121958E-4</v>
      </c>
      <c r="AD33" s="86">
        <f t="shared" si="18"/>
        <v>1.397547272996221E-3</v>
      </c>
      <c r="AE33" s="97">
        <f t="shared" si="19"/>
        <v>1.1879151820467877E-3</v>
      </c>
      <c r="AF33" s="189">
        <f t="shared" si="5"/>
        <v>-9.983889404862975E-2</v>
      </c>
      <c r="AG33" s="205">
        <f t="shared" si="6"/>
        <v>-9.983889404862975E-2</v>
      </c>
      <c r="AH33" s="189">
        <f t="shared" si="20"/>
        <v>1.8604021698148197E-2</v>
      </c>
      <c r="AI33" s="87">
        <f t="shared" si="7"/>
        <v>2.7906032547222294E-3</v>
      </c>
      <c r="AJ33" s="90">
        <f t="shared" si="8"/>
        <v>3.9785184367690171E-3</v>
      </c>
      <c r="AL33" s="100">
        <f t="shared" si="9"/>
        <v>18432.238024535178</v>
      </c>
      <c r="AM33" s="101">
        <f t="shared" si="10"/>
        <v>248710.01122048806</v>
      </c>
      <c r="AN33" s="101">
        <f t="shared" si="21"/>
        <v>645767.58228614414</v>
      </c>
      <c r="AO33" s="101">
        <f t="shared" si="11"/>
        <v>912909.83153116738</v>
      </c>
      <c r="AP33" s="145">
        <f t="shared" si="22"/>
        <v>1.406089704517356E-3</v>
      </c>
    </row>
    <row r="34" spans="1:42" ht="14.25">
      <c r="A34" s="7" t="s">
        <v>27</v>
      </c>
      <c r="B34" s="156">
        <v>1853039</v>
      </c>
      <c r="C34" s="90">
        <f t="shared" si="0"/>
        <v>1.2558717545272369E-3</v>
      </c>
      <c r="D34" s="154"/>
      <c r="E34" s="157">
        <v>16604</v>
      </c>
      <c r="F34" s="189">
        <f t="shared" si="1"/>
        <v>3.5680992500630713E-3</v>
      </c>
      <c r="G34" s="87">
        <f t="shared" si="12"/>
        <v>3.0328843625536104E-3</v>
      </c>
      <c r="H34" s="88">
        <v>170.12</v>
      </c>
      <c r="I34" s="189">
        <f t="shared" si="2"/>
        <v>2.6490132223318096E-3</v>
      </c>
      <c r="J34" s="89">
        <f t="shared" si="13"/>
        <v>3.9735198334977145E-4</v>
      </c>
      <c r="K34" s="90">
        <f t="shared" si="14"/>
        <v>3.430236345903382E-3</v>
      </c>
      <c r="M34" s="91">
        <v>1777</v>
      </c>
      <c r="N34" s="92">
        <v>482</v>
      </c>
      <c r="O34" s="92">
        <v>1571</v>
      </c>
      <c r="P34" s="92">
        <v>193</v>
      </c>
      <c r="Q34" s="93">
        <f t="shared" si="15"/>
        <v>1.0391545480701082E-3</v>
      </c>
      <c r="R34" s="93">
        <f t="shared" si="15"/>
        <v>1.3698941600445642E-3</v>
      </c>
      <c r="S34" s="93">
        <f t="shared" si="15"/>
        <v>1.1755532807739047E-3</v>
      </c>
      <c r="T34" s="93">
        <f t="shared" si="15"/>
        <v>1.2326597348184861E-3</v>
      </c>
      <c r="U34" s="94">
        <f t="shared" si="16"/>
        <v>4.8172617237070628E-3</v>
      </c>
      <c r="V34" s="95">
        <v>887.9999999826681</v>
      </c>
      <c r="W34" s="95">
        <v>349</v>
      </c>
      <c r="X34" s="95">
        <v>145</v>
      </c>
      <c r="Y34" s="95">
        <v>79</v>
      </c>
      <c r="Z34" s="93">
        <f t="shared" si="17"/>
        <v>6.9838113993134286E-4</v>
      </c>
      <c r="AA34" s="93">
        <f t="shared" si="4"/>
        <v>1.1912563829496736E-3</v>
      </c>
      <c r="AB34" s="93">
        <f t="shared" si="4"/>
        <v>2.9443776600929206E-4</v>
      </c>
      <c r="AC34" s="93">
        <f t="shared" si="4"/>
        <v>1.4388751274952644E-3</v>
      </c>
      <c r="AD34" s="86">
        <f t="shared" si="18"/>
        <v>3.6229504163855729E-3</v>
      </c>
      <c r="AE34" s="97">
        <f t="shared" si="19"/>
        <v>3.0795078539277371E-3</v>
      </c>
      <c r="AF34" s="189">
        <f t="shared" si="5"/>
        <v>-0.24792327588180588</v>
      </c>
      <c r="AG34" s="205">
        <f t="shared" si="6"/>
        <v>-0.24792327588180588</v>
      </c>
      <c r="AH34" s="189">
        <f t="shared" si="20"/>
        <v>4.6198127973397771E-2</v>
      </c>
      <c r="AI34" s="87">
        <f t="shared" si="7"/>
        <v>6.9297191960096651E-3</v>
      </c>
      <c r="AJ34" s="90">
        <f t="shared" si="8"/>
        <v>1.0009227049937402E-2</v>
      </c>
      <c r="AL34" s="100">
        <f t="shared" si="9"/>
        <v>407690.08839437808</v>
      </c>
      <c r="AM34" s="101">
        <f t="shared" si="10"/>
        <v>556773.95165297051</v>
      </c>
      <c r="AN34" s="101">
        <f t="shared" si="21"/>
        <v>1624633.5049889362</v>
      </c>
      <c r="AO34" s="101">
        <f t="shared" si="11"/>
        <v>2589097.5450362847</v>
      </c>
      <c r="AP34" s="145">
        <f t="shared" si="22"/>
        <v>3.9878017262238155E-3</v>
      </c>
    </row>
    <row r="35" spans="1:42" ht="14.25">
      <c r="A35" s="7" t="s">
        <v>28</v>
      </c>
      <c r="B35" s="156">
        <v>171102</v>
      </c>
      <c r="C35" s="90">
        <f t="shared" si="0"/>
        <v>1.1596203260866032E-4</v>
      </c>
      <c r="D35" s="154"/>
      <c r="E35" s="157">
        <v>1594</v>
      </c>
      <c r="F35" s="189">
        <f t="shared" si="1"/>
        <v>3.425409663093553E-4</v>
      </c>
      <c r="G35" s="87">
        <f t="shared" si="12"/>
        <v>2.9115982136295197E-4</v>
      </c>
      <c r="H35" s="88">
        <v>444.11</v>
      </c>
      <c r="I35" s="189">
        <f t="shared" si="2"/>
        <v>6.9154318255924057E-3</v>
      </c>
      <c r="J35" s="89">
        <f t="shared" si="13"/>
        <v>1.0373147738388607E-3</v>
      </c>
      <c r="K35" s="90">
        <f t="shared" si="14"/>
        <v>1.3284745952018128E-3</v>
      </c>
      <c r="M35" s="91">
        <v>236</v>
      </c>
      <c r="N35" s="92">
        <v>70</v>
      </c>
      <c r="O35" s="92">
        <v>392</v>
      </c>
      <c r="P35" s="92">
        <v>106</v>
      </c>
      <c r="Q35" s="93">
        <f t="shared" si="15"/>
        <v>1.3800814481966547E-4</v>
      </c>
      <c r="R35" s="93">
        <f t="shared" si="15"/>
        <v>1.9894728465377488E-4</v>
      </c>
      <c r="S35" s="93">
        <f t="shared" si="15"/>
        <v>2.9332710761513091E-4</v>
      </c>
      <c r="T35" s="93">
        <f t="shared" si="15"/>
        <v>6.7700482844953124E-4</v>
      </c>
      <c r="U35" s="94">
        <f t="shared" si="16"/>
        <v>1.3072873655381025E-3</v>
      </c>
      <c r="V35" s="95">
        <v>156.00000000186</v>
      </c>
      <c r="W35" s="95">
        <v>60</v>
      </c>
      <c r="X35" s="95">
        <v>117</v>
      </c>
      <c r="Y35" s="95">
        <v>25</v>
      </c>
      <c r="Z35" s="93">
        <f t="shared" si="17"/>
        <v>1.2268857864044472E-4</v>
      </c>
      <c r="AA35" s="93">
        <f t="shared" si="4"/>
        <v>2.0480052428934218E-4</v>
      </c>
      <c r="AB35" s="93">
        <f t="shared" si="4"/>
        <v>2.3758081809025633E-4</v>
      </c>
      <c r="AC35" s="93">
        <f t="shared" si="4"/>
        <v>4.5534023022002039E-4</v>
      </c>
      <c r="AD35" s="86">
        <f t="shared" si="18"/>
        <v>1.0204101512400637E-3</v>
      </c>
      <c r="AE35" s="97">
        <f t="shared" si="19"/>
        <v>8.6734862855405406E-4</v>
      </c>
      <c r="AF35" s="189">
        <f t="shared" si="5"/>
        <v>-0.21944464687758616</v>
      </c>
      <c r="AG35" s="205">
        <f t="shared" si="6"/>
        <v>-0.21944464687758616</v>
      </c>
      <c r="AH35" s="189">
        <f t="shared" si="20"/>
        <v>4.0891408212760681E-2</v>
      </c>
      <c r="AI35" s="87">
        <f t="shared" si="7"/>
        <v>6.1337112319141017E-3</v>
      </c>
      <c r="AJ35" s="90">
        <f t="shared" si="8"/>
        <v>7.0010598604681555E-3</v>
      </c>
      <c r="AL35" s="100">
        <f t="shared" si="9"/>
        <v>37644.425996676204</v>
      </c>
      <c r="AM35" s="101">
        <f t="shared" si="10"/>
        <v>215629.47139909043</v>
      </c>
      <c r="AN35" s="101">
        <f t="shared" si="21"/>
        <v>1136367.1103675149</v>
      </c>
      <c r="AO35" s="101">
        <f t="shared" si="11"/>
        <v>1389641.0077632815</v>
      </c>
      <c r="AP35" s="145">
        <f t="shared" si="22"/>
        <v>2.1403646302218223E-3</v>
      </c>
    </row>
    <row r="36" spans="1:42" ht="14.25">
      <c r="A36" s="7" t="s">
        <v>29</v>
      </c>
      <c r="B36" s="156">
        <v>456919</v>
      </c>
      <c r="C36" s="90">
        <f t="shared" si="0"/>
        <v>3.0967058232818124E-4</v>
      </c>
      <c r="D36" s="154"/>
      <c r="E36" s="157">
        <v>6914</v>
      </c>
      <c r="F36" s="189">
        <f t="shared" si="1"/>
        <v>1.4857768137157357E-3</v>
      </c>
      <c r="G36" s="87">
        <f t="shared" si="12"/>
        <v>1.2629102916583753E-3</v>
      </c>
      <c r="H36" s="88">
        <v>127.8</v>
      </c>
      <c r="I36" s="189">
        <f t="shared" si="2"/>
        <v>1.990029918963116E-3</v>
      </c>
      <c r="J36" s="89">
        <f t="shared" si="13"/>
        <v>2.9850448784446741E-4</v>
      </c>
      <c r="K36" s="90">
        <f t="shared" si="14"/>
        <v>1.5614147795028426E-3</v>
      </c>
      <c r="M36" s="91">
        <v>1201</v>
      </c>
      <c r="N36" s="92">
        <v>234</v>
      </c>
      <c r="O36" s="92">
        <v>2745</v>
      </c>
      <c r="P36" s="92">
        <v>176</v>
      </c>
      <c r="Q36" s="93">
        <f t="shared" si="15"/>
        <v>7.0232110986617887E-4</v>
      </c>
      <c r="R36" s="93">
        <f t="shared" si="15"/>
        <v>6.6505235155690464E-4</v>
      </c>
      <c r="S36" s="93">
        <f t="shared" si="15"/>
        <v>2.0540380367437099E-3</v>
      </c>
      <c r="T36" s="93">
        <f t="shared" si="15"/>
        <v>1.1240834887463913E-3</v>
      </c>
      <c r="U36" s="94">
        <f t="shared" si="16"/>
        <v>4.5454949869131846E-3</v>
      </c>
      <c r="V36" s="95">
        <v>649.99999999475995</v>
      </c>
      <c r="W36" s="95">
        <v>185</v>
      </c>
      <c r="X36" s="95">
        <v>941</v>
      </c>
      <c r="Y36" s="95">
        <v>42</v>
      </c>
      <c r="Z36" s="93">
        <f t="shared" si="17"/>
        <v>5.1120241099163676E-4</v>
      </c>
      <c r="AA36" s="93">
        <f t="shared" si="4"/>
        <v>6.3146828322547177E-4</v>
      </c>
      <c r="AB36" s="93">
        <f t="shared" si="4"/>
        <v>1.9107995711361643E-3</v>
      </c>
      <c r="AC36" s="93">
        <f t="shared" si="4"/>
        <v>7.6497158676963432E-4</v>
      </c>
      <c r="AD36" s="86">
        <f t="shared" si="18"/>
        <v>3.8184418521229071E-3</v>
      </c>
      <c r="AE36" s="97">
        <f t="shared" si="19"/>
        <v>3.2456755743044711E-3</v>
      </c>
      <c r="AF36" s="189">
        <f t="shared" si="5"/>
        <v>-0.15995026655700142</v>
      </c>
      <c r="AG36" s="205">
        <f t="shared" si="6"/>
        <v>-0.15995026655700142</v>
      </c>
      <c r="AH36" s="189">
        <f t="shared" si="20"/>
        <v>2.9805200247927655E-2</v>
      </c>
      <c r="AI36" s="87">
        <f t="shared" si="7"/>
        <v>4.4707800371891482E-3</v>
      </c>
      <c r="AJ36" s="90">
        <f t="shared" si="8"/>
        <v>7.7164556114936193E-3</v>
      </c>
      <c r="AL36" s="100">
        <f t="shared" si="9"/>
        <v>100527.48350092515</v>
      </c>
      <c r="AM36" s="101">
        <f t="shared" si="10"/>
        <v>253438.82732494263</v>
      </c>
      <c r="AN36" s="101">
        <f t="shared" si="21"/>
        <v>1252485.5579403434</v>
      </c>
      <c r="AO36" s="101">
        <f t="shared" si="11"/>
        <v>1606451.8687662112</v>
      </c>
      <c r="AP36" s="145">
        <f t="shared" si="22"/>
        <v>2.4743028889132068E-3</v>
      </c>
    </row>
    <row r="37" spans="1:42" ht="14.25">
      <c r="A37" s="7" t="s">
        <v>30</v>
      </c>
      <c r="B37" s="156">
        <v>94349</v>
      </c>
      <c r="C37" s="90">
        <f t="shared" si="0"/>
        <v>6.3943740076647217E-5</v>
      </c>
      <c r="D37" s="154"/>
      <c r="E37" s="157">
        <v>3558</v>
      </c>
      <c r="F37" s="189">
        <f t="shared" si="1"/>
        <v>7.6459269644208675E-4</v>
      </c>
      <c r="G37" s="87">
        <f t="shared" si="12"/>
        <v>6.4990379197577377E-4</v>
      </c>
      <c r="H37" s="88">
        <v>561.88</v>
      </c>
      <c r="I37" s="189">
        <f t="shared" si="2"/>
        <v>8.7492802102268827E-3</v>
      </c>
      <c r="J37" s="89">
        <f t="shared" si="13"/>
        <v>1.3123920315340324E-3</v>
      </c>
      <c r="K37" s="90">
        <f t="shared" si="14"/>
        <v>1.9622958235098061E-3</v>
      </c>
      <c r="M37" s="91">
        <v>779</v>
      </c>
      <c r="N37" s="92">
        <v>226</v>
      </c>
      <c r="O37" s="92">
        <v>2400</v>
      </c>
      <c r="P37" s="92">
        <v>462</v>
      </c>
      <c r="Q37" s="93">
        <f t="shared" si="15"/>
        <v>4.5554383395982794E-4</v>
      </c>
      <c r="R37" s="93">
        <f t="shared" si="15"/>
        <v>6.4231551902504459E-4</v>
      </c>
      <c r="S37" s="93">
        <f t="shared" si="15"/>
        <v>1.795880250704883E-3</v>
      </c>
      <c r="T37" s="93">
        <f t="shared" si="15"/>
        <v>2.9507191579592777E-3</v>
      </c>
      <c r="U37" s="94">
        <f t="shared" si="16"/>
        <v>5.8444587616490332E-3</v>
      </c>
      <c r="V37" s="95">
        <v>671.99999999645991</v>
      </c>
      <c r="W37" s="95">
        <v>188</v>
      </c>
      <c r="X37" s="95">
        <v>1437</v>
      </c>
      <c r="Y37" s="95">
        <v>355</v>
      </c>
      <c r="Z37" s="93">
        <f t="shared" si="17"/>
        <v>5.2850464644206086E-4</v>
      </c>
      <c r="AA37" s="93">
        <f t="shared" si="4"/>
        <v>6.4170830943993879E-4</v>
      </c>
      <c r="AB37" s="93">
        <f t="shared" si="4"/>
        <v>2.9179797914162253E-3</v>
      </c>
      <c r="AC37" s="93">
        <f t="shared" si="4"/>
        <v>6.4658312691242897E-3</v>
      </c>
      <c r="AD37" s="86">
        <f t="shared" si="18"/>
        <v>1.0554024016422515E-2</v>
      </c>
      <c r="AE37" s="97">
        <f t="shared" si="19"/>
        <v>8.9709204139591381E-3</v>
      </c>
      <c r="AF37" s="189">
        <f t="shared" si="5"/>
        <v>0.80581717603644487</v>
      </c>
      <c r="AG37" s="205">
        <f t="shared" si="6"/>
        <v>0</v>
      </c>
      <c r="AH37" s="189">
        <f t="shared" si="20"/>
        <v>0</v>
      </c>
      <c r="AI37" s="87">
        <f t="shared" si="7"/>
        <v>0</v>
      </c>
      <c r="AJ37" s="90">
        <f t="shared" si="8"/>
        <v>8.9709204139591381E-3</v>
      </c>
      <c r="AL37" s="100">
        <f t="shared" si="9"/>
        <v>20757.87511753459</v>
      </c>
      <c r="AM37" s="101">
        <f t="shared" si="10"/>
        <v>318507.26591258863</v>
      </c>
      <c r="AN37" s="101">
        <f t="shared" si="21"/>
        <v>1456102.2347073625</v>
      </c>
      <c r="AO37" s="101">
        <f t="shared" si="11"/>
        <v>1795367.3757374857</v>
      </c>
      <c r="AP37" s="145">
        <f t="shared" si="22"/>
        <v>2.7652759294055601E-3</v>
      </c>
    </row>
    <row r="38" spans="1:42" ht="14.25">
      <c r="A38" s="7" t="s">
        <v>31</v>
      </c>
      <c r="B38" s="156">
        <v>9277254.6899999995</v>
      </c>
      <c r="C38" s="90">
        <f t="shared" si="0"/>
        <v>6.2875320620485254E-3</v>
      </c>
      <c r="D38" s="154"/>
      <c r="E38" s="157">
        <v>256970</v>
      </c>
      <c r="F38" s="189">
        <f t="shared" si="1"/>
        <v>5.5221299945116084E-2</v>
      </c>
      <c r="G38" s="87">
        <f t="shared" si="12"/>
        <v>4.6938104953348672E-2</v>
      </c>
      <c r="H38" s="88">
        <v>247</v>
      </c>
      <c r="I38" s="189">
        <f t="shared" si="2"/>
        <v>3.8461454615327825E-3</v>
      </c>
      <c r="J38" s="89">
        <f t="shared" si="13"/>
        <v>5.769218192299174E-4</v>
      </c>
      <c r="K38" s="90">
        <f t="shared" si="14"/>
        <v>4.7515026772578586E-2</v>
      </c>
      <c r="M38" s="91">
        <v>7826</v>
      </c>
      <c r="N38" s="92">
        <v>1628</v>
      </c>
      <c r="O38" s="92">
        <v>22499</v>
      </c>
      <c r="P38" s="92">
        <v>705</v>
      </c>
      <c r="Q38" s="93">
        <f t="shared" si="15"/>
        <v>4.5764904294860248E-3</v>
      </c>
      <c r="R38" s="93">
        <f t="shared" si="15"/>
        <v>4.6269454202335072E-3</v>
      </c>
      <c r="S38" s="93">
        <f t="shared" si="15"/>
        <v>1.6835629066920484E-2</v>
      </c>
      <c r="T38" s="93">
        <f t="shared" si="15"/>
        <v>4.5027207929898066E-3</v>
      </c>
      <c r="U38" s="94">
        <f t="shared" si="16"/>
        <v>3.0541785709629822E-2</v>
      </c>
      <c r="V38" s="95">
        <v>16068.000000124277</v>
      </c>
      <c r="W38" s="95">
        <v>2619</v>
      </c>
      <c r="X38" s="95">
        <v>3702</v>
      </c>
      <c r="Y38" s="95">
        <v>260</v>
      </c>
      <c r="Z38" s="93">
        <f t="shared" si="17"/>
        <v>1.2636923599912874E-2</v>
      </c>
      <c r="AA38" s="93">
        <f t="shared" si="4"/>
        <v>8.939542885229787E-3</v>
      </c>
      <c r="AB38" s="93">
        <f t="shared" si="4"/>
        <v>7.5173007570096496E-3</v>
      </c>
      <c r="AC38" s="93">
        <f t="shared" si="4"/>
        <v>4.7355383942882124E-3</v>
      </c>
      <c r="AD38" s="86">
        <f t="shared" si="18"/>
        <v>3.3829305636440522E-2</v>
      </c>
      <c r="AE38" s="97">
        <f t="shared" si="19"/>
        <v>2.8754909790974444E-2</v>
      </c>
      <c r="AF38" s="189">
        <f t="shared" si="5"/>
        <v>0.10764006918476104</v>
      </c>
      <c r="AG38" s="205">
        <f t="shared" si="6"/>
        <v>0</v>
      </c>
      <c r="AH38" s="189">
        <f t="shared" si="20"/>
        <v>0</v>
      </c>
      <c r="AI38" s="87">
        <f t="shared" si="7"/>
        <v>0</v>
      </c>
      <c r="AJ38" s="90">
        <f t="shared" si="8"/>
        <v>2.8754909790974444E-2</v>
      </c>
      <c r="AL38" s="100">
        <f t="shared" si="9"/>
        <v>2041103.7137498232</v>
      </c>
      <c r="AM38" s="101">
        <f t="shared" si="10"/>
        <v>7712334.2392018437</v>
      </c>
      <c r="AN38" s="101">
        <f t="shared" si="21"/>
        <v>4667312.4354436193</v>
      </c>
      <c r="AO38" s="101">
        <f t="shared" si="11"/>
        <v>14420750.388395285</v>
      </c>
      <c r="AP38" s="145">
        <f t="shared" si="22"/>
        <v>2.2211250171912524E-2</v>
      </c>
    </row>
    <row r="39" spans="1:42" ht="14.25">
      <c r="A39" s="7" t="s">
        <v>32</v>
      </c>
      <c r="B39" s="156">
        <v>315893</v>
      </c>
      <c r="C39" s="90">
        <f t="shared" si="0"/>
        <v>2.1409214601142903E-4</v>
      </c>
      <c r="D39" s="154"/>
      <c r="E39" s="157">
        <v>5349</v>
      </c>
      <c r="F39" s="189">
        <f t="shared" si="1"/>
        <v>1.1494677721384829E-3</v>
      </c>
      <c r="G39" s="87">
        <f t="shared" si="12"/>
        <v>9.7704760631771043E-4</v>
      </c>
      <c r="H39" s="88">
        <v>3428.68</v>
      </c>
      <c r="I39" s="189">
        <f t="shared" si="2"/>
        <v>5.3389481866591988E-2</v>
      </c>
      <c r="J39" s="89">
        <f t="shared" si="13"/>
        <v>8.0084222799887972E-3</v>
      </c>
      <c r="K39" s="90">
        <f t="shared" si="14"/>
        <v>8.9854698863065068E-3</v>
      </c>
      <c r="M39" s="91">
        <v>900</v>
      </c>
      <c r="N39" s="92">
        <v>209</v>
      </c>
      <c r="O39" s="92">
        <v>2198</v>
      </c>
      <c r="P39" s="92">
        <v>203</v>
      </c>
      <c r="Q39" s="93">
        <f t="shared" si="15"/>
        <v>5.2630224719363945E-4</v>
      </c>
      <c r="R39" s="93">
        <f t="shared" si="15"/>
        <v>5.9399974989484219E-4</v>
      </c>
      <c r="S39" s="93">
        <f t="shared" si="15"/>
        <v>1.6447269962705554E-3</v>
      </c>
      <c r="T39" s="93">
        <f t="shared" si="15"/>
        <v>1.2965281148608946E-3</v>
      </c>
      <c r="U39" s="94">
        <f t="shared" si="16"/>
        <v>4.0615571082199316E-3</v>
      </c>
      <c r="V39" s="95">
        <v>711.99999999240003</v>
      </c>
      <c r="W39" s="95">
        <v>170</v>
      </c>
      <c r="X39" s="95">
        <v>749</v>
      </c>
      <c r="Y39" s="95">
        <v>32</v>
      </c>
      <c r="Z39" s="93">
        <f t="shared" si="17"/>
        <v>5.5996325634629924E-4</v>
      </c>
      <c r="AA39" s="93">
        <f t="shared" si="4"/>
        <v>5.8026815215313622E-4</v>
      </c>
      <c r="AB39" s="93">
        <f t="shared" si="4"/>
        <v>1.5209233568342052E-3</v>
      </c>
      <c r="AC39" s="93">
        <f t="shared" si="4"/>
        <v>5.8283549468162615E-4</v>
      </c>
      <c r="AD39" s="86">
        <f t="shared" si="18"/>
        <v>3.2439902600152671E-3</v>
      </c>
      <c r="AE39" s="97">
        <f t="shared" si="19"/>
        <v>2.7573917210129768E-3</v>
      </c>
      <c r="AF39" s="189">
        <f t="shared" si="5"/>
        <v>-0.20129394378083273</v>
      </c>
      <c r="AG39" s="205">
        <f t="shared" si="6"/>
        <v>-0.20129394378083273</v>
      </c>
      <c r="AH39" s="189">
        <f t="shared" si="20"/>
        <v>3.7509198529186154E-2</v>
      </c>
      <c r="AI39" s="87">
        <f t="shared" si="7"/>
        <v>5.6263797793779232E-3</v>
      </c>
      <c r="AJ39" s="90">
        <f t="shared" si="8"/>
        <v>8.3837715003909005E-3</v>
      </c>
      <c r="AL39" s="100">
        <f t="shared" si="9"/>
        <v>69500.126599151597</v>
      </c>
      <c r="AM39" s="101">
        <f t="shared" si="10"/>
        <v>1458463.8116940283</v>
      </c>
      <c r="AN39" s="101">
        <f t="shared" si="21"/>
        <v>1360799.9908236274</v>
      </c>
      <c r="AO39" s="101">
        <f t="shared" si="11"/>
        <v>2888763.9291168074</v>
      </c>
      <c r="AP39" s="145">
        <f t="shared" si="22"/>
        <v>4.4493564196800674E-3</v>
      </c>
    </row>
    <row r="40" spans="1:42" ht="14.25">
      <c r="A40" s="7" t="s">
        <v>33</v>
      </c>
      <c r="B40" s="156">
        <v>6733972.8100000005</v>
      </c>
      <c r="C40" s="90">
        <f t="shared" ref="C40:C59" si="23">(B40/B$59)</f>
        <v>4.5638576672338838E-3</v>
      </c>
      <c r="D40" s="154"/>
      <c r="E40" s="157">
        <v>78669</v>
      </c>
      <c r="F40" s="189">
        <f t="shared" si="1"/>
        <v>1.6905492646543709E-2</v>
      </c>
      <c r="G40" s="87">
        <f t="shared" si="12"/>
        <v>1.4369668749562152E-2</v>
      </c>
      <c r="H40" s="88">
        <v>2539.67</v>
      </c>
      <c r="I40" s="189">
        <f t="shared" si="2"/>
        <v>3.9546316778505917E-2</v>
      </c>
      <c r="J40" s="89">
        <f t="shared" si="13"/>
        <v>5.9319475167758876E-3</v>
      </c>
      <c r="K40" s="90">
        <f t="shared" si="14"/>
        <v>2.030161626633804E-2</v>
      </c>
      <c r="M40" s="91">
        <v>12929</v>
      </c>
      <c r="N40" s="92">
        <v>2053</v>
      </c>
      <c r="O40" s="92">
        <v>23315</v>
      </c>
      <c r="P40" s="92">
        <v>2592</v>
      </c>
      <c r="Q40" s="93">
        <f t="shared" si="15"/>
        <v>7.5606241710739607E-3</v>
      </c>
      <c r="R40" s="93">
        <f t="shared" si="15"/>
        <v>5.8348396484885689E-3</v>
      </c>
      <c r="S40" s="93">
        <f t="shared" si="15"/>
        <v>1.7446228352160146E-2</v>
      </c>
      <c r="T40" s="93">
        <f t="shared" si="15"/>
        <v>1.6554684106992311E-2</v>
      </c>
      <c r="U40" s="94">
        <f t="shared" si="16"/>
        <v>4.7396376278714986E-2</v>
      </c>
      <c r="V40" s="95">
        <v>10671.999999957041</v>
      </c>
      <c r="W40" s="95">
        <v>1702</v>
      </c>
      <c r="X40" s="95">
        <v>11424</v>
      </c>
      <c r="Y40" s="95">
        <v>888</v>
      </c>
      <c r="Z40" s="93">
        <f t="shared" si="17"/>
        <v>8.3931571232688726E-3</v>
      </c>
      <c r="AA40" s="93">
        <f t="shared" si="4"/>
        <v>5.8095082056743401E-3</v>
      </c>
      <c r="AB40" s="93">
        <f t="shared" si="4"/>
        <v>2.3197634750966568E-2</v>
      </c>
      <c r="AC40" s="93">
        <f t="shared" si="4"/>
        <v>1.6173684977415125E-2</v>
      </c>
      <c r="AD40" s="86">
        <f t="shared" si="18"/>
        <v>5.3573985057324913E-2</v>
      </c>
      <c r="AE40" s="97">
        <f t="shared" si="19"/>
        <v>4.5537887298726175E-2</v>
      </c>
      <c r="AF40" s="189">
        <f t="shared" si="5"/>
        <v>0.13033926353952507</v>
      </c>
      <c r="AG40" s="205">
        <f t="shared" si="6"/>
        <v>0</v>
      </c>
      <c r="AH40" s="189">
        <f t="shared" si="20"/>
        <v>0</v>
      </c>
      <c r="AI40" s="87">
        <f t="shared" ref="AI40:AI58" si="24">+AH40*AI$4</f>
        <v>0</v>
      </c>
      <c r="AJ40" s="90">
        <f t="shared" ref="AJ40:AJ58" si="25">+AI40+AE40</f>
        <v>4.5537887298726175E-2</v>
      </c>
      <c r="AL40" s="100">
        <f t="shared" ref="AL40:AL58" si="26">+C40*AL$6</f>
        <v>1481552.1800427507</v>
      </c>
      <c r="AM40" s="101">
        <f t="shared" ref="AM40:AM58" si="27">+K40*AM$6</f>
        <v>3295228.0757710901</v>
      </c>
      <c r="AN40" s="101">
        <f t="shared" si="21"/>
        <v>7391417.6472181585</v>
      </c>
      <c r="AO40" s="101">
        <f t="shared" si="11"/>
        <v>12168197.903031999</v>
      </c>
      <c r="AP40" s="145">
        <f t="shared" si="22"/>
        <v>1.8741804724882998E-2</v>
      </c>
    </row>
    <row r="41" spans="1:42" ht="14.25">
      <c r="A41" s="7" t="s">
        <v>34</v>
      </c>
      <c r="B41" s="156">
        <v>376869.92000000004</v>
      </c>
      <c r="C41" s="90">
        <f t="shared" si="23"/>
        <v>2.5541841680554997E-4</v>
      </c>
      <c r="D41" s="154"/>
      <c r="E41" s="157">
        <v>5488</v>
      </c>
      <c r="F41" s="189">
        <f t="shared" si="1"/>
        <v>1.1793380320613187E-3</v>
      </c>
      <c r="G41" s="87">
        <f t="shared" si="12"/>
        <v>1.0024373272521209E-3</v>
      </c>
      <c r="H41" s="88">
        <v>264.23</v>
      </c>
      <c r="I41" s="189">
        <f t="shared" si="2"/>
        <v>4.114441357493147E-3</v>
      </c>
      <c r="J41" s="89">
        <f t="shared" si="13"/>
        <v>6.1716620362397201E-4</v>
      </c>
      <c r="K41" s="90">
        <f t="shared" si="14"/>
        <v>1.6196035308760929E-3</v>
      </c>
      <c r="M41" s="91">
        <v>549</v>
      </c>
      <c r="N41" s="92">
        <v>170</v>
      </c>
      <c r="O41" s="92">
        <v>368</v>
      </c>
      <c r="P41" s="92">
        <v>141</v>
      </c>
      <c r="Q41" s="93">
        <f t="shared" si="15"/>
        <v>3.2104437078812008E-4</v>
      </c>
      <c r="R41" s="93">
        <f t="shared" si="15"/>
        <v>4.8315769130202469E-4</v>
      </c>
      <c r="S41" s="93">
        <f t="shared" si="15"/>
        <v>2.7536830510808204E-4</v>
      </c>
      <c r="T41" s="93">
        <f t="shared" si="15"/>
        <v>9.0054415859796135E-4</v>
      </c>
      <c r="U41" s="94">
        <f t="shared" si="16"/>
        <v>1.9801145257961881E-3</v>
      </c>
      <c r="V41" s="95">
        <v>273.99999999933596</v>
      </c>
      <c r="W41" s="95">
        <v>118</v>
      </c>
      <c r="X41" s="95">
        <v>143</v>
      </c>
      <c r="Y41" s="95">
        <v>8</v>
      </c>
      <c r="Z41" s="93">
        <f t="shared" si="17"/>
        <v>2.1549147786538184E-4</v>
      </c>
      <c r="AA41" s="93">
        <f t="shared" si="4"/>
        <v>4.0277436443570628E-4</v>
      </c>
      <c r="AB41" s="93">
        <f t="shared" si="4"/>
        <v>2.9037655544364666E-4</v>
      </c>
      <c r="AC41" s="93">
        <f t="shared" si="4"/>
        <v>1.4570887367040654E-4</v>
      </c>
      <c r="AD41" s="86">
        <f t="shared" si="18"/>
        <v>1.0543512714151413E-3</v>
      </c>
      <c r="AE41" s="97">
        <f t="shared" si="19"/>
        <v>8.9619858070287008E-4</v>
      </c>
      <c r="AF41" s="189">
        <f t="shared" si="5"/>
        <v>-0.46753015662505931</v>
      </c>
      <c r="AG41" s="205">
        <f t="shared" si="6"/>
        <v>-0.46753015662505931</v>
      </c>
      <c r="AH41" s="189">
        <f t="shared" si="20"/>
        <v>8.7119766913229382E-2</v>
      </c>
      <c r="AI41" s="87">
        <f t="shared" si="24"/>
        <v>1.3067965036984408E-2</v>
      </c>
      <c r="AJ41" s="90">
        <f t="shared" si="25"/>
        <v>1.3964163617687278E-2</v>
      </c>
      <c r="AL41" s="100">
        <f t="shared" si="26"/>
        <v>82915.756763879341</v>
      </c>
      <c r="AM41" s="101">
        <f t="shared" si="27"/>
        <v>262883.65204745153</v>
      </c>
      <c r="AN41" s="101">
        <f t="shared" si="21"/>
        <v>2266573.4296220355</v>
      </c>
      <c r="AO41" s="101">
        <f t="shared" si="11"/>
        <v>2612372.8384333663</v>
      </c>
      <c r="AP41" s="145">
        <f t="shared" si="22"/>
        <v>4.0236509955436182E-3</v>
      </c>
    </row>
    <row r="42" spans="1:42" ht="14.25">
      <c r="A42" s="7" t="s">
        <v>35</v>
      </c>
      <c r="B42" s="156">
        <v>26350</v>
      </c>
      <c r="C42" s="90">
        <f t="shared" si="23"/>
        <v>1.7858350920726814E-5</v>
      </c>
      <c r="D42" s="154"/>
      <c r="E42" s="157">
        <v>862</v>
      </c>
      <c r="F42" s="189">
        <f t="shared" si="1"/>
        <v>1.8523859031283833E-4</v>
      </c>
      <c r="G42" s="87">
        <f t="shared" si="12"/>
        <v>1.5745280176591257E-4</v>
      </c>
      <c r="H42" s="88">
        <v>207.92</v>
      </c>
      <c r="I42" s="189">
        <f t="shared" si="2"/>
        <v>3.2376136208983647E-3</v>
      </c>
      <c r="J42" s="89">
        <f t="shared" si="13"/>
        <v>4.8564204313475466E-4</v>
      </c>
      <c r="K42" s="90">
        <f t="shared" si="14"/>
        <v>6.430948449006672E-4</v>
      </c>
      <c r="M42" s="91">
        <v>166</v>
      </c>
      <c r="N42" s="92">
        <v>24</v>
      </c>
      <c r="O42" s="92">
        <v>127</v>
      </c>
      <c r="P42" s="92">
        <v>48</v>
      </c>
      <c r="Q42" s="93">
        <f t="shared" si="15"/>
        <v>9.7073525593493502E-5</v>
      </c>
      <c r="R42" s="93">
        <f t="shared" si="15"/>
        <v>6.821049759557996E-5</v>
      </c>
      <c r="S42" s="93">
        <f t="shared" si="15"/>
        <v>9.5031996599800059E-5</v>
      </c>
      <c r="T42" s="93">
        <f t="shared" si="15"/>
        <v>3.0656822420356133E-4</v>
      </c>
      <c r="U42" s="94">
        <f t="shared" si="16"/>
        <v>5.668842439924349E-4</v>
      </c>
      <c r="V42" s="95">
        <v>122.00000000265999</v>
      </c>
      <c r="W42" s="95">
        <v>28</v>
      </c>
      <c r="X42" s="95">
        <v>16</v>
      </c>
      <c r="Y42" s="95">
        <v>3</v>
      </c>
      <c r="Z42" s="93">
        <f t="shared" si="17"/>
        <v>9.5948760219757314E-5</v>
      </c>
      <c r="AA42" s="93">
        <f t="shared" si="4"/>
        <v>9.5573578001693018E-5</v>
      </c>
      <c r="AB42" s="93">
        <f t="shared" si="4"/>
        <v>3.2489684525163258E-5</v>
      </c>
      <c r="AC42" s="93">
        <f t="shared" si="4"/>
        <v>5.4640827626402448E-5</v>
      </c>
      <c r="AD42" s="86">
        <f t="shared" si="18"/>
        <v>2.7865285037301604E-4</v>
      </c>
      <c r="AE42" s="97">
        <f t="shared" si="19"/>
        <v>2.3685492281706362E-4</v>
      </c>
      <c r="AF42" s="189">
        <f t="shared" si="5"/>
        <v>-0.50844841195350865</v>
      </c>
      <c r="AG42" s="205">
        <f t="shared" si="6"/>
        <v>-0.50844841195350865</v>
      </c>
      <c r="AH42" s="189">
        <f t="shared" si="20"/>
        <v>9.474449189876509E-2</v>
      </c>
      <c r="AI42" s="87">
        <f t="shared" si="24"/>
        <v>1.4211673784814763E-2</v>
      </c>
      <c r="AJ42" s="90">
        <f t="shared" si="25"/>
        <v>1.4448528707631827E-2</v>
      </c>
      <c r="AL42" s="100">
        <f t="shared" si="26"/>
        <v>5797.305846877407</v>
      </c>
      <c r="AM42" s="101">
        <f t="shared" si="27"/>
        <v>104383.02844951663</v>
      </c>
      <c r="AN42" s="101">
        <f t="shared" si="21"/>
        <v>2345192.4628245858</v>
      </c>
      <c r="AO42" s="101">
        <f t="shared" si="11"/>
        <v>2455372.79712098</v>
      </c>
      <c r="AP42" s="145">
        <f t="shared" si="22"/>
        <v>3.781835063593488E-3</v>
      </c>
    </row>
    <row r="43" spans="1:42" ht="14.25">
      <c r="A43" s="7" t="s">
        <v>36</v>
      </c>
      <c r="B43" s="156">
        <v>69371.78</v>
      </c>
      <c r="C43" s="90">
        <f t="shared" si="23"/>
        <v>4.7015771963394985E-5</v>
      </c>
      <c r="D43" s="154"/>
      <c r="E43" s="157">
        <v>7095</v>
      </c>
      <c r="F43" s="189">
        <f t="shared" si="1"/>
        <v>1.5246726198023062E-3</v>
      </c>
      <c r="G43" s="87">
        <f t="shared" si="12"/>
        <v>1.2959717268319602E-3</v>
      </c>
      <c r="H43" s="88">
        <v>1006.78</v>
      </c>
      <c r="I43" s="189">
        <f t="shared" si="2"/>
        <v>1.5677013472720547E-2</v>
      </c>
      <c r="J43" s="89">
        <f t="shared" si="13"/>
        <v>2.3515520209080819E-3</v>
      </c>
      <c r="K43" s="90">
        <f t="shared" si="14"/>
        <v>3.6475237477400424E-3</v>
      </c>
      <c r="M43" s="91">
        <v>1457</v>
      </c>
      <c r="N43" s="92">
        <v>857</v>
      </c>
      <c r="O43" s="92">
        <v>6591</v>
      </c>
      <c r="P43" s="92">
        <v>540</v>
      </c>
      <c r="Q43" s="93">
        <f t="shared" si="15"/>
        <v>8.5202486017903634E-4</v>
      </c>
      <c r="R43" s="93">
        <f t="shared" si="15"/>
        <v>2.4356831849755012E-3</v>
      </c>
      <c r="S43" s="93">
        <f t="shared" si="15"/>
        <v>4.9319361384982845E-3</v>
      </c>
      <c r="T43" s="93">
        <f t="shared" si="15"/>
        <v>3.4488925222900648E-3</v>
      </c>
      <c r="U43" s="94">
        <f t="shared" si="16"/>
        <v>1.1668536705942888E-2</v>
      </c>
      <c r="V43" s="95">
        <v>1103.9999999949041</v>
      </c>
      <c r="W43" s="95">
        <v>656</v>
      </c>
      <c r="X43" s="95">
        <v>3161</v>
      </c>
      <c r="Y43" s="95">
        <v>242</v>
      </c>
      <c r="Z43" s="93">
        <f t="shared" si="17"/>
        <v>8.6825763344109482E-4</v>
      </c>
      <c r="AA43" s="93">
        <f t="shared" si="4"/>
        <v>2.2391523988968078E-3</v>
      </c>
      <c r="AB43" s="93">
        <f t="shared" si="4"/>
        <v>6.4187432990025668E-3</v>
      </c>
      <c r="AC43" s="93">
        <f t="shared" si="4"/>
        <v>4.4076934285297974E-3</v>
      </c>
      <c r="AD43" s="86">
        <f t="shared" si="18"/>
        <v>1.3933846759870267E-2</v>
      </c>
      <c r="AE43" s="97">
        <f t="shared" si="19"/>
        <v>1.1843769745889727E-2</v>
      </c>
      <c r="AF43" s="189">
        <f t="shared" si="5"/>
        <v>0.19413831494172162</v>
      </c>
      <c r="AG43" s="205">
        <f t="shared" si="6"/>
        <v>0</v>
      </c>
      <c r="AH43" s="189">
        <f t="shared" si="20"/>
        <v>0</v>
      </c>
      <c r="AI43" s="87">
        <f t="shared" si="24"/>
        <v>0</v>
      </c>
      <c r="AJ43" s="90">
        <f t="shared" si="25"/>
        <v>1.1843769745889727E-2</v>
      </c>
      <c r="AL43" s="100">
        <f t="shared" si="26"/>
        <v>15262.596804641104</v>
      </c>
      <c r="AM43" s="101">
        <f t="shared" si="27"/>
        <v>592042.64837396669</v>
      </c>
      <c r="AN43" s="101">
        <f t="shared" si="21"/>
        <v>1922404.7030351947</v>
      </c>
      <c r="AO43" s="101">
        <f t="shared" si="11"/>
        <v>2529709.9482138027</v>
      </c>
      <c r="AP43" s="145">
        <f t="shared" si="22"/>
        <v>3.8963312593891411E-3</v>
      </c>
    </row>
    <row r="44" spans="1:42" ht="14.25">
      <c r="A44" s="7" t="s">
        <v>37</v>
      </c>
      <c r="B44" s="156">
        <v>284531.59999999998</v>
      </c>
      <c r="C44" s="90">
        <f t="shared" si="23"/>
        <v>1.9283738750800277E-4</v>
      </c>
      <c r="D44" s="154"/>
      <c r="E44" s="157">
        <v>5447</v>
      </c>
      <c r="F44" s="189">
        <f t="shared" si="1"/>
        <v>1.1705273798538634E-3</v>
      </c>
      <c r="G44" s="87">
        <f t="shared" si="12"/>
        <v>9.9494827287578387E-4</v>
      </c>
      <c r="H44" s="88">
        <v>3872.26</v>
      </c>
      <c r="I44" s="189">
        <f t="shared" si="2"/>
        <v>6.0296660829453175E-2</v>
      </c>
      <c r="J44" s="89">
        <f t="shared" si="13"/>
        <v>9.0444991244179752E-3</v>
      </c>
      <c r="K44" s="90">
        <f t="shared" si="14"/>
        <v>1.0039447397293759E-2</v>
      </c>
      <c r="M44" s="91">
        <v>871</v>
      </c>
      <c r="N44" s="92">
        <v>298</v>
      </c>
      <c r="O44" s="92">
        <v>2364</v>
      </c>
      <c r="P44" s="92">
        <v>407</v>
      </c>
      <c r="Q44" s="93">
        <f t="shared" si="15"/>
        <v>5.0934361922851112E-4</v>
      </c>
      <c r="R44" s="93">
        <f t="shared" si="15"/>
        <v>8.4694701181178454E-4</v>
      </c>
      <c r="S44" s="93">
        <f t="shared" si="15"/>
        <v>1.7689420469443097E-3</v>
      </c>
      <c r="T44" s="93">
        <f t="shared" si="15"/>
        <v>2.5994430677260304E-3</v>
      </c>
      <c r="U44" s="94">
        <f t="shared" si="16"/>
        <v>5.7246757457106359E-3</v>
      </c>
      <c r="V44" s="95">
        <v>541.99999999184001</v>
      </c>
      <c r="W44" s="95">
        <v>247</v>
      </c>
      <c r="X44" s="95">
        <v>493</v>
      </c>
      <c r="Y44" s="95">
        <v>128</v>
      </c>
      <c r="Z44" s="93">
        <f t="shared" si="17"/>
        <v>4.2626416423927597E-4</v>
      </c>
      <c r="AA44" s="93">
        <f t="shared" si="4"/>
        <v>8.4309549165779193E-4</v>
      </c>
      <c r="AB44" s="93">
        <f t="shared" si="4"/>
        <v>1.0010884044315931E-3</v>
      </c>
      <c r="AC44" s="93">
        <f t="shared" si="4"/>
        <v>2.3313419787265046E-3</v>
      </c>
      <c r="AD44" s="86">
        <f t="shared" si="18"/>
        <v>4.6017900390551651E-3</v>
      </c>
      <c r="AE44" s="97">
        <f t="shared" si="19"/>
        <v>3.9115215331968906E-3</v>
      </c>
      <c r="AF44" s="189">
        <f t="shared" si="5"/>
        <v>-0.19614835084708904</v>
      </c>
      <c r="AG44" s="205">
        <f t="shared" si="6"/>
        <v>-0.19614835084708904</v>
      </c>
      <c r="AH44" s="189">
        <f t="shared" si="20"/>
        <v>3.655036656794089E-2</v>
      </c>
      <c r="AI44" s="87">
        <f t="shared" si="24"/>
        <v>5.4825549851911333E-3</v>
      </c>
      <c r="AJ44" s="90">
        <f t="shared" si="25"/>
        <v>9.3940765183880247E-3</v>
      </c>
      <c r="AL44" s="100">
        <f t="shared" si="26"/>
        <v>62600.25458449273</v>
      </c>
      <c r="AM44" s="101">
        <f t="shared" si="27"/>
        <v>1629538.6778461996</v>
      </c>
      <c r="AN44" s="101">
        <f t="shared" si="21"/>
        <v>1524786.2181624151</v>
      </c>
      <c r="AO44" s="101">
        <f t="shared" si="11"/>
        <v>3216925.1505931076</v>
      </c>
      <c r="AP44" s="145">
        <f t="shared" si="22"/>
        <v>4.9547996726744484E-3</v>
      </c>
    </row>
    <row r="45" spans="1:42" ht="14.25">
      <c r="A45" s="7" t="s">
        <v>38</v>
      </c>
      <c r="B45" s="156">
        <v>7274324.2899999991</v>
      </c>
      <c r="C45" s="90">
        <f t="shared" si="23"/>
        <v>4.9300734680070932E-3</v>
      </c>
      <c r="D45" s="154"/>
      <c r="E45" s="157">
        <v>59113</v>
      </c>
      <c r="F45" s="189">
        <f t="shared" si="1"/>
        <v>1.2703026437543865E-2</v>
      </c>
      <c r="G45" s="87">
        <f t="shared" si="12"/>
        <v>1.0797572471912285E-2</v>
      </c>
      <c r="H45" s="88">
        <v>1869.3</v>
      </c>
      <c r="I45" s="189">
        <f t="shared" si="2"/>
        <v>2.9107691138636562E-2</v>
      </c>
      <c r="J45" s="89">
        <f t="shared" si="13"/>
        <v>4.3661536707954845E-3</v>
      </c>
      <c r="K45" s="90">
        <f t="shared" si="14"/>
        <v>1.516372614270777E-2</v>
      </c>
      <c r="M45" s="91">
        <v>9097</v>
      </c>
      <c r="N45" s="92">
        <v>1608</v>
      </c>
      <c r="O45" s="92">
        <v>18077</v>
      </c>
      <c r="P45" s="92">
        <v>1611</v>
      </c>
      <c r="Q45" s="93">
        <f t="shared" si="15"/>
        <v>5.3197461585783755E-3</v>
      </c>
      <c r="R45" s="93">
        <f t="shared" si="15"/>
        <v>4.5701033389038571E-3</v>
      </c>
      <c r="S45" s="93">
        <f t="shared" si="15"/>
        <v>1.3526719704996738E-2</v>
      </c>
      <c r="T45" s="93">
        <f t="shared" si="15"/>
        <v>1.0289196024832026E-2</v>
      </c>
      <c r="U45" s="94">
        <f t="shared" si="16"/>
        <v>3.3705765227310995E-2</v>
      </c>
      <c r="V45" s="95">
        <v>5867.9999999965466</v>
      </c>
      <c r="W45" s="95">
        <v>1434</v>
      </c>
      <c r="X45" s="95">
        <v>7372</v>
      </c>
      <c r="Y45" s="95">
        <v>494</v>
      </c>
      <c r="Z45" s="93">
        <f t="shared" si="17"/>
        <v>4.6149780734174488E-3</v>
      </c>
      <c r="AA45" s="93">
        <f t="shared" si="4"/>
        <v>4.8947325305152781E-3</v>
      </c>
      <c r="AB45" s="93">
        <f t="shared" si="4"/>
        <v>1.4969622144968973E-2</v>
      </c>
      <c r="AC45" s="93">
        <f t="shared" si="4"/>
        <v>8.9975229491476034E-3</v>
      </c>
      <c r="AD45" s="86">
        <f t="shared" si="18"/>
        <v>3.3476855698049306E-2</v>
      </c>
      <c r="AE45" s="97">
        <f t="shared" si="19"/>
        <v>2.8455327343341909E-2</v>
      </c>
      <c r="AF45" s="189">
        <f t="shared" si="5"/>
        <v>-6.7914057941698752E-3</v>
      </c>
      <c r="AG45" s="205">
        <f t="shared" si="6"/>
        <v>-6.7914057941698752E-3</v>
      </c>
      <c r="AH45" s="189">
        <f t="shared" si="20"/>
        <v>1.2655134249997214E-3</v>
      </c>
      <c r="AI45" s="87">
        <f t="shared" si="24"/>
        <v>1.898270137499582E-4</v>
      </c>
      <c r="AJ45" s="90">
        <f t="shared" si="25"/>
        <v>2.8645154357091869E-2</v>
      </c>
      <c r="AL45" s="100">
        <f t="shared" si="26"/>
        <v>1600435.7775521569</v>
      </c>
      <c r="AM45" s="101">
        <f t="shared" si="27"/>
        <v>2461278.7210250921</v>
      </c>
      <c r="AN45" s="101">
        <f t="shared" si="21"/>
        <v>4649497.6377224158</v>
      </c>
      <c r="AO45" s="101">
        <f t="shared" si="11"/>
        <v>8711212.136299666</v>
      </c>
      <c r="AP45" s="145">
        <f t="shared" si="22"/>
        <v>1.3417256858953459E-2</v>
      </c>
    </row>
    <row r="46" spans="1:42" ht="14.25">
      <c r="A46" s="7" t="s">
        <v>39</v>
      </c>
      <c r="B46" s="156">
        <v>643518127.78999984</v>
      </c>
      <c r="C46" s="90">
        <f t="shared" si="23"/>
        <v>0.43613558064223679</v>
      </c>
      <c r="D46" s="154"/>
      <c r="E46" s="157">
        <v>1135550</v>
      </c>
      <c r="F46" s="189">
        <f t="shared" si="1"/>
        <v>0.24402283205306677</v>
      </c>
      <c r="G46" s="87">
        <f t="shared" si="12"/>
        <v>0.20741940724510674</v>
      </c>
      <c r="H46" s="88">
        <v>323.60000000000002</v>
      </c>
      <c r="I46" s="189">
        <f t="shared" si="2"/>
        <v>5.0389176977814112E-3</v>
      </c>
      <c r="J46" s="89">
        <f t="shared" si="13"/>
        <v>7.558376546672117E-4</v>
      </c>
      <c r="K46" s="90">
        <f t="shared" si="14"/>
        <v>0.20817524489977396</v>
      </c>
      <c r="M46" s="91">
        <v>123398</v>
      </c>
      <c r="N46" s="92">
        <v>25536</v>
      </c>
      <c r="O46" s="92">
        <v>28126</v>
      </c>
      <c r="P46" s="92">
        <v>2378</v>
      </c>
      <c r="Q46" s="93">
        <f t="shared" si="15"/>
        <v>7.2160716332445252E-2</v>
      </c>
      <c r="R46" s="93">
        <f t="shared" si="15"/>
        <v>7.2575969441697072E-2</v>
      </c>
      <c r="S46" s="93">
        <f t="shared" si="15"/>
        <v>2.104621997138564E-2</v>
      </c>
      <c r="T46" s="93">
        <f t="shared" si="15"/>
        <v>1.5187900774084766E-2</v>
      </c>
      <c r="U46" s="94">
        <f t="shared" si="16"/>
        <v>0.18097080651961275</v>
      </c>
      <c r="V46" s="95">
        <v>88873.999998769097</v>
      </c>
      <c r="W46" s="95">
        <v>19246</v>
      </c>
      <c r="X46" s="95">
        <v>4982</v>
      </c>
      <c r="Y46" s="95">
        <v>694</v>
      </c>
      <c r="Z46" s="93">
        <f t="shared" si="17"/>
        <v>6.9896312421858064E-2</v>
      </c>
      <c r="AA46" s="93">
        <f t="shared" si="4"/>
        <v>6.5693181507877993E-2</v>
      </c>
      <c r="AB46" s="93">
        <f t="shared" si="4"/>
        <v>1.011647551902271E-2</v>
      </c>
      <c r="AC46" s="93">
        <f t="shared" si="4"/>
        <v>1.2640244790907766E-2</v>
      </c>
      <c r="AD46" s="86">
        <f t="shared" si="18"/>
        <v>0.15834621423966655</v>
      </c>
      <c r="AE46" s="97">
        <f t="shared" si="19"/>
        <v>0.13459428210371657</v>
      </c>
      <c r="AF46" s="189">
        <f t="shared" si="5"/>
        <v>-0.12501791153532965</v>
      </c>
      <c r="AG46" s="205">
        <f t="shared" si="6"/>
        <v>-0.12501791153532965</v>
      </c>
      <c r="AH46" s="189">
        <f t="shared" si="20"/>
        <v>2.329589045455142E-2</v>
      </c>
      <c r="AI46" s="87">
        <f t="shared" si="24"/>
        <v>3.4943835681827129E-3</v>
      </c>
      <c r="AJ46" s="90">
        <f t="shared" si="25"/>
        <v>0.13808866567189929</v>
      </c>
      <c r="AL46" s="100">
        <f t="shared" si="26"/>
        <v>141581457.48799121</v>
      </c>
      <c r="AM46" s="101">
        <f t="shared" si="27"/>
        <v>33789669.880209692</v>
      </c>
      <c r="AN46" s="101">
        <f t="shared" si="21"/>
        <v>22413666.089349642</v>
      </c>
      <c r="AO46" s="101">
        <f t="shared" si="11"/>
        <v>197784793.45755053</v>
      </c>
      <c r="AP46" s="145">
        <f t="shared" si="22"/>
        <v>0.30463376796403674</v>
      </c>
    </row>
    <row r="47" spans="1:42" ht="14.25">
      <c r="A47" s="7" t="s">
        <v>40</v>
      </c>
      <c r="B47" s="156">
        <v>50574</v>
      </c>
      <c r="C47" s="90">
        <f t="shared" si="23"/>
        <v>3.4275834514794609E-5</v>
      </c>
      <c r="D47" s="154"/>
      <c r="E47" s="157">
        <v>1034</v>
      </c>
      <c r="F47" s="189">
        <f t="shared" si="1"/>
        <v>2.2220035079289422E-4</v>
      </c>
      <c r="G47" s="87">
        <f t="shared" si="12"/>
        <v>1.8887029817396008E-4</v>
      </c>
      <c r="H47" s="88">
        <v>1172.6600000000001</v>
      </c>
      <c r="I47" s="189">
        <f t="shared" si="2"/>
        <v>1.8260003793202563E-2</v>
      </c>
      <c r="J47" s="89">
        <f t="shared" si="13"/>
        <v>2.7390005689803842E-3</v>
      </c>
      <c r="K47" s="90">
        <f t="shared" si="14"/>
        <v>2.9278708671543444E-3</v>
      </c>
      <c r="M47" s="91">
        <v>244</v>
      </c>
      <c r="N47" s="92">
        <v>60</v>
      </c>
      <c r="O47" s="92">
        <v>375</v>
      </c>
      <c r="P47" s="92">
        <v>47</v>
      </c>
      <c r="Q47" s="93">
        <f t="shared" si="15"/>
        <v>1.4268638701694225E-4</v>
      </c>
      <c r="R47" s="93">
        <f t="shared" si="15"/>
        <v>1.7052624398894989E-4</v>
      </c>
      <c r="S47" s="93">
        <f t="shared" si="15"/>
        <v>2.8060628917263796E-4</v>
      </c>
      <c r="T47" s="93">
        <f t="shared" si="15"/>
        <v>3.0018138619932047E-4</v>
      </c>
      <c r="U47" s="94">
        <f t="shared" si="16"/>
        <v>8.9400030637785065E-4</v>
      </c>
      <c r="V47" s="95">
        <v>95.999999999399989</v>
      </c>
      <c r="W47" s="95">
        <v>43</v>
      </c>
      <c r="X47" s="95">
        <v>84</v>
      </c>
      <c r="Y47" s="95">
        <v>27</v>
      </c>
      <c r="Z47" s="93">
        <f t="shared" si="17"/>
        <v>7.5500663777363118E-5</v>
      </c>
      <c r="AA47" s="93">
        <f t="shared" si="4"/>
        <v>1.4677370907402855E-4</v>
      </c>
      <c r="AB47" s="93">
        <f t="shared" si="4"/>
        <v>1.7057084375710711E-4</v>
      </c>
      <c r="AC47" s="93">
        <f t="shared" si="4"/>
        <v>4.91767448637622E-4</v>
      </c>
      <c r="AD47" s="86">
        <f t="shared" si="18"/>
        <v>8.8461266524612078E-4</v>
      </c>
      <c r="AE47" s="97">
        <f t="shared" si="19"/>
        <v>7.5192076545920264E-4</v>
      </c>
      <c r="AF47" s="189">
        <f t="shared" si="5"/>
        <v>-1.0500713550943872E-2</v>
      </c>
      <c r="AG47" s="205">
        <f t="shared" si="6"/>
        <v>-1.0500713550943872E-2</v>
      </c>
      <c r="AH47" s="189">
        <f t="shared" si="20"/>
        <v>1.9567073995495625E-3</v>
      </c>
      <c r="AI47" s="87">
        <f t="shared" si="24"/>
        <v>2.9350610993243438E-4</v>
      </c>
      <c r="AJ47" s="90">
        <f t="shared" si="25"/>
        <v>1.0454268753916371E-3</v>
      </c>
      <c r="AL47" s="100">
        <f t="shared" si="26"/>
        <v>11126.867017076964</v>
      </c>
      <c r="AM47" s="101">
        <f t="shared" si="27"/>
        <v>475233.2108491541</v>
      </c>
      <c r="AN47" s="101">
        <f t="shared" si="21"/>
        <v>169686.98185218702</v>
      </c>
      <c r="AO47" s="101">
        <f t="shared" si="11"/>
        <v>656047.05971841817</v>
      </c>
      <c r="AP47" s="145">
        <f t="shared" si="22"/>
        <v>1.0104623528938929E-3</v>
      </c>
    </row>
    <row r="48" spans="1:42" ht="14.25">
      <c r="A48" s="7" t="s">
        <v>41</v>
      </c>
      <c r="B48" s="156">
        <v>3001400.66</v>
      </c>
      <c r="C48" s="90">
        <f t="shared" si="23"/>
        <v>2.0341581115742341E-3</v>
      </c>
      <c r="D48" s="154"/>
      <c r="E48" s="157">
        <v>20843</v>
      </c>
      <c r="F48" s="189">
        <f t="shared" si="1"/>
        <v>4.4790347307314257E-3</v>
      </c>
      <c r="G48" s="87">
        <f t="shared" si="12"/>
        <v>3.8071795211217117E-3</v>
      </c>
      <c r="H48" s="88">
        <v>308.89</v>
      </c>
      <c r="I48" s="189">
        <f t="shared" si="2"/>
        <v>4.8098618283921504E-3</v>
      </c>
      <c r="J48" s="89">
        <f t="shared" si="13"/>
        <v>7.2147927425882249E-4</v>
      </c>
      <c r="K48" s="90">
        <f t="shared" si="14"/>
        <v>4.5286587953805345E-3</v>
      </c>
      <c r="M48" s="91">
        <v>1423</v>
      </c>
      <c r="N48" s="92">
        <v>462</v>
      </c>
      <c r="O48" s="92">
        <v>3867</v>
      </c>
      <c r="P48" s="92">
        <v>358</v>
      </c>
      <c r="Q48" s="93">
        <f t="shared" si="15"/>
        <v>8.3214233084060992E-4</v>
      </c>
      <c r="R48" s="93">
        <f t="shared" si="15"/>
        <v>1.3130520787149142E-3</v>
      </c>
      <c r="S48" s="93">
        <f t="shared" si="15"/>
        <v>2.8936120539482428E-3</v>
      </c>
      <c r="T48" s="93">
        <f t="shared" si="15"/>
        <v>2.286488005518228E-3</v>
      </c>
      <c r="U48" s="94">
        <f t="shared" si="16"/>
        <v>7.3252944690219944E-3</v>
      </c>
      <c r="V48" s="95">
        <v>502.9999955589883</v>
      </c>
      <c r="W48" s="95">
        <v>435</v>
      </c>
      <c r="X48" s="95">
        <v>1115</v>
      </c>
      <c r="Y48" s="95">
        <v>155</v>
      </c>
      <c r="Z48" s="93">
        <f t="shared" si="17"/>
        <v>3.9559201609324664E-4</v>
      </c>
      <c r="AA48" s="93">
        <f t="shared" si="4"/>
        <v>1.4848038010977307E-3</v>
      </c>
      <c r="AB48" s="93">
        <f t="shared" si="4"/>
        <v>2.2641248903473147E-3</v>
      </c>
      <c r="AC48" s="93">
        <f t="shared" si="4"/>
        <v>2.8231094273641266E-3</v>
      </c>
      <c r="AD48" s="86">
        <f t="shared" si="18"/>
        <v>6.9676301349024189E-3</v>
      </c>
      <c r="AE48" s="97">
        <f t="shared" si="19"/>
        <v>5.9224856146670559E-3</v>
      </c>
      <c r="AF48" s="189">
        <f t="shared" si="5"/>
        <v>-4.8825932613645158E-2</v>
      </c>
      <c r="AG48" s="205">
        <f t="shared" si="6"/>
        <v>-4.8825932613645158E-2</v>
      </c>
      <c r="AH48" s="189">
        <f t="shared" si="20"/>
        <v>9.0982449117888945E-3</v>
      </c>
      <c r="AI48" s="87">
        <f t="shared" si="24"/>
        <v>1.3647367367683341E-3</v>
      </c>
      <c r="AJ48" s="90">
        <f t="shared" si="25"/>
        <v>7.2872223514353898E-3</v>
      </c>
      <c r="AL48" s="100">
        <f t="shared" si="26"/>
        <v>660342.98273395479</v>
      </c>
      <c r="AM48" s="101">
        <f t="shared" si="27"/>
        <v>735062.83501522371</v>
      </c>
      <c r="AN48" s="101">
        <f t="shared" si="21"/>
        <v>1182815.1695809753</v>
      </c>
      <c r="AO48" s="101">
        <f t="shared" si="11"/>
        <v>2578220.9873301536</v>
      </c>
      <c r="AP48" s="145">
        <f t="shared" si="22"/>
        <v>3.9710493424910988E-3</v>
      </c>
    </row>
    <row r="49" spans="1:42" ht="14.25">
      <c r="A49" s="7" t="s">
        <v>42</v>
      </c>
      <c r="B49" s="156">
        <v>214478</v>
      </c>
      <c r="C49" s="90">
        <f t="shared" si="23"/>
        <v>1.4535952139566017E-4</v>
      </c>
      <c r="D49" s="154"/>
      <c r="E49" s="157">
        <v>5359</v>
      </c>
      <c r="F49" s="189">
        <f t="shared" si="1"/>
        <v>1.1516167117012767E-3</v>
      </c>
      <c r="G49" s="87">
        <f t="shared" si="12"/>
        <v>9.788742049460853E-4</v>
      </c>
      <c r="H49" s="88">
        <v>1341.58</v>
      </c>
      <c r="I49" s="189">
        <f t="shared" si="2"/>
        <v>2.089033128859575E-2</v>
      </c>
      <c r="J49" s="89">
        <f t="shared" si="13"/>
        <v>3.1335496932893623E-3</v>
      </c>
      <c r="K49" s="90">
        <f t="shared" si="14"/>
        <v>4.1124238982354474E-3</v>
      </c>
      <c r="M49" s="91">
        <v>1104</v>
      </c>
      <c r="N49" s="92">
        <v>274</v>
      </c>
      <c r="O49" s="92">
        <v>2326</v>
      </c>
      <c r="P49" s="92">
        <v>140</v>
      </c>
      <c r="Q49" s="93">
        <f t="shared" si="15"/>
        <v>6.4559742322419769E-4</v>
      </c>
      <c r="R49" s="93">
        <f t="shared" si="15"/>
        <v>7.7873651421620459E-4</v>
      </c>
      <c r="S49" s="93">
        <f t="shared" si="15"/>
        <v>1.7405072763081492E-3</v>
      </c>
      <c r="T49" s="93">
        <f t="shared" si="15"/>
        <v>8.9415732059372043E-4</v>
      </c>
      <c r="U49" s="94">
        <f t="shared" si="16"/>
        <v>4.0589985343422721E-3</v>
      </c>
      <c r="V49" s="95">
        <v>511.00000000414997</v>
      </c>
      <c r="W49" s="95">
        <v>264</v>
      </c>
      <c r="X49" s="95">
        <v>999</v>
      </c>
      <c r="Y49" s="95">
        <v>49</v>
      </c>
      <c r="Z49" s="93">
        <f t="shared" si="17"/>
        <v>4.0188374157069809E-4</v>
      </c>
      <c r="AA49" s="93">
        <f t="shared" si="4"/>
        <v>9.0112230687310556E-4</v>
      </c>
      <c r="AB49" s="93">
        <f t="shared" si="4"/>
        <v>2.028574677539881E-3</v>
      </c>
      <c r="AC49" s="93">
        <f t="shared" si="4"/>
        <v>8.9246685123123997E-4</v>
      </c>
      <c r="AD49" s="86">
        <f t="shared" si="18"/>
        <v>4.2240475772149242E-3</v>
      </c>
      <c r="AE49" s="97">
        <f t="shared" si="19"/>
        <v>3.5904404406326856E-3</v>
      </c>
      <c r="AF49" s="189">
        <f t="shared" si="5"/>
        <v>4.066250368809185E-2</v>
      </c>
      <c r="AG49" s="205">
        <f t="shared" si="6"/>
        <v>0</v>
      </c>
      <c r="AH49" s="189">
        <f t="shared" si="20"/>
        <v>0</v>
      </c>
      <c r="AI49" s="87">
        <f t="shared" si="24"/>
        <v>0</v>
      </c>
      <c r="AJ49" s="90">
        <f t="shared" si="25"/>
        <v>3.5904404406326856E-3</v>
      </c>
      <c r="AL49" s="100">
        <f t="shared" si="26"/>
        <v>47187.649465904076</v>
      </c>
      <c r="AM49" s="101">
        <f t="shared" si="27"/>
        <v>667502.25751271204</v>
      </c>
      <c r="AN49" s="101">
        <f t="shared" si="21"/>
        <v>582777.25227100134</v>
      </c>
      <c r="AO49" s="101">
        <f t="shared" si="11"/>
        <v>1297467.1592496175</v>
      </c>
      <c r="AP49" s="145">
        <f t="shared" si="22"/>
        <v>1.9983958454148636E-3</v>
      </c>
    </row>
    <row r="50" spans="1:42" ht="14.25">
      <c r="A50" s="7" t="s">
        <v>43</v>
      </c>
      <c r="B50" s="156">
        <v>52509</v>
      </c>
      <c r="C50" s="90">
        <f t="shared" si="23"/>
        <v>3.5587254212388773E-5</v>
      </c>
      <c r="D50" s="154"/>
      <c r="E50" s="157">
        <v>2628</v>
      </c>
      <c r="F50" s="189">
        <f t="shared" si="1"/>
        <v>5.6474131710224952E-4</v>
      </c>
      <c r="G50" s="87">
        <f t="shared" si="12"/>
        <v>4.800301195369121E-4</v>
      </c>
      <c r="H50" s="88">
        <v>673.76</v>
      </c>
      <c r="I50" s="189">
        <f t="shared" si="2"/>
        <v>1.0491412818470961E-2</v>
      </c>
      <c r="J50" s="89">
        <f t="shared" si="13"/>
        <v>1.5737119227706442E-3</v>
      </c>
      <c r="K50" s="90">
        <f t="shared" si="14"/>
        <v>2.0537420423075562E-3</v>
      </c>
      <c r="M50" s="91">
        <v>671</v>
      </c>
      <c r="N50" s="92">
        <v>247</v>
      </c>
      <c r="O50" s="92">
        <v>1766</v>
      </c>
      <c r="P50" s="92">
        <v>574</v>
      </c>
      <c r="Q50" s="93">
        <f t="shared" si="15"/>
        <v>3.9238756429659118E-4</v>
      </c>
      <c r="R50" s="93">
        <f t="shared" si="15"/>
        <v>7.0199970442117712E-4</v>
      </c>
      <c r="S50" s="93">
        <f t="shared" si="15"/>
        <v>1.3214685511436764E-3</v>
      </c>
      <c r="T50" s="93">
        <f t="shared" si="15"/>
        <v>3.6660450144342539E-3</v>
      </c>
      <c r="U50" s="94">
        <f t="shared" si="16"/>
        <v>6.0819008342956988E-3</v>
      </c>
      <c r="V50" s="95">
        <v>600.99999999995009</v>
      </c>
      <c r="W50" s="95">
        <v>212</v>
      </c>
      <c r="X50" s="95">
        <v>872</v>
      </c>
      <c r="Y50" s="95">
        <v>90</v>
      </c>
      <c r="Z50" s="93">
        <f t="shared" si="17"/>
        <v>4.7266561385911533E-4</v>
      </c>
      <c r="AA50" s="93">
        <f t="shared" si="4"/>
        <v>7.2362851915567573E-4</v>
      </c>
      <c r="AB50" s="93">
        <f t="shared" si="4"/>
        <v>1.7706878066213977E-3</v>
      </c>
      <c r="AC50" s="93">
        <f t="shared" si="4"/>
        <v>1.6392248287920735E-3</v>
      </c>
      <c r="AD50" s="86">
        <f t="shared" si="18"/>
        <v>4.6062067684282618E-3</v>
      </c>
      <c r="AE50" s="97">
        <f t="shared" si="19"/>
        <v>3.9152757531640226E-3</v>
      </c>
      <c r="AF50" s="189">
        <f t="shared" si="5"/>
        <v>-0.24263698242924844</v>
      </c>
      <c r="AG50" s="205">
        <f t="shared" si="6"/>
        <v>-0.24263698242924844</v>
      </c>
      <c r="AH50" s="189">
        <f t="shared" si="20"/>
        <v>4.5213077818031917E-2</v>
      </c>
      <c r="AI50" s="87">
        <f t="shared" si="24"/>
        <v>6.7819616727047873E-3</v>
      </c>
      <c r="AJ50" s="90">
        <f t="shared" si="25"/>
        <v>1.0697237425868811E-2</v>
      </c>
      <c r="AL50" s="100">
        <f t="shared" si="26"/>
        <v>11552.589476800216</v>
      </c>
      <c r="AM50" s="101">
        <f t="shared" si="27"/>
        <v>333350.2293324566</v>
      </c>
      <c r="AN50" s="101">
        <f t="shared" si="21"/>
        <v>1736306.9342099458</v>
      </c>
      <c r="AO50" s="101">
        <f t="shared" si="11"/>
        <v>2081209.7530192027</v>
      </c>
      <c r="AP50" s="145">
        <f t="shared" si="22"/>
        <v>3.2055384941502866E-3</v>
      </c>
    </row>
    <row r="51" spans="1:42" ht="14.25">
      <c r="A51" s="7" t="s">
        <v>44</v>
      </c>
      <c r="B51" s="156">
        <v>4883204</v>
      </c>
      <c r="C51" s="90">
        <f t="shared" si="23"/>
        <v>3.3095245028272051E-3</v>
      </c>
      <c r="D51" s="154"/>
      <c r="E51" s="157">
        <v>34671</v>
      </c>
      <c r="F51" s="189">
        <f t="shared" si="1"/>
        <v>7.4505883581628971E-3</v>
      </c>
      <c r="G51" s="87">
        <f t="shared" si="12"/>
        <v>6.3330001044384623E-3</v>
      </c>
      <c r="H51" s="88">
        <v>1542.15</v>
      </c>
      <c r="I51" s="189">
        <f t="shared" si="2"/>
        <v>2.4013494831995066E-2</v>
      </c>
      <c r="J51" s="89">
        <f t="shared" si="13"/>
        <v>3.6020242247992596E-3</v>
      </c>
      <c r="K51" s="90">
        <f t="shared" si="14"/>
        <v>9.9350243292377211E-3</v>
      </c>
      <c r="M51" s="91">
        <v>4789</v>
      </c>
      <c r="N51" s="92">
        <v>909</v>
      </c>
      <c r="O51" s="92">
        <v>4749</v>
      </c>
      <c r="P51" s="92">
        <v>258</v>
      </c>
      <c r="Q51" s="93">
        <f t="shared" si="15"/>
        <v>2.8005127353448217E-3</v>
      </c>
      <c r="R51" s="93">
        <f t="shared" si="15"/>
        <v>2.5834725964325911E-3</v>
      </c>
      <c r="S51" s="93">
        <f t="shared" si="15"/>
        <v>3.5535980460822871E-3</v>
      </c>
      <c r="T51" s="93">
        <f t="shared" si="15"/>
        <v>1.6478042050941421E-3</v>
      </c>
      <c r="U51" s="94">
        <f t="shared" si="16"/>
        <v>1.0585387582953843E-2</v>
      </c>
      <c r="V51" s="95">
        <v>3480.0000000606401</v>
      </c>
      <c r="W51" s="95">
        <v>841</v>
      </c>
      <c r="X51" s="95">
        <v>1534</v>
      </c>
      <c r="Y51" s="95">
        <v>182</v>
      </c>
      <c r="Z51" s="93">
        <f t="shared" si="17"/>
        <v>2.7368990619942106E-3</v>
      </c>
      <c r="AA51" s="93">
        <f t="shared" si="4"/>
        <v>2.8706206821222796E-3</v>
      </c>
      <c r="AB51" s="93">
        <f t="shared" si="4"/>
        <v>3.1149485038500274E-3</v>
      </c>
      <c r="AC51" s="93">
        <f t="shared" si="4"/>
        <v>3.3148768760017486E-3</v>
      </c>
      <c r="AD51" s="86">
        <f t="shared" si="18"/>
        <v>1.2037345123968266E-2</v>
      </c>
      <c r="AE51" s="97">
        <f t="shared" si="19"/>
        <v>1.0231743355373026E-2</v>
      </c>
      <c r="AF51" s="189">
        <f t="shared" si="5"/>
        <v>0.1371662142397676</v>
      </c>
      <c r="AG51" s="205">
        <f t="shared" si="6"/>
        <v>0</v>
      </c>
      <c r="AH51" s="189">
        <f t="shared" si="20"/>
        <v>0</v>
      </c>
      <c r="AI51" s="87">
        <f t="shared" si="24"/>
        <v>0</v>
      </c>
      <c r="AJ51" s="90">
        <f t="shared" si="25"/>
        <v>1.0231743355373026E-2</v>
      </c>
      <c r="AL51" s="100">
        <f t="shared" si="26"/>
        <v>1074361.559798677</v>
      </c>
      <c r="AM51" s="101">
        <f t="shared" si="27"/>
        <v>1612589.3955278771</v>
      </c>
      <c r="AN51" s="101">
        <f t="shared" si="21"/>
        <v>1660750.9237879559</v>
      </c>
      <c r="AO51" s="101">
        <f t="shared" si="11"/>
        <v>4347701.8791145105</v>
      </c>
      <c r="AP51" s="145">
        <f t="shared" si="22"/>
        <v>6.6964541725662912E-3</v>
      </c>
    </row>
    <row r="52" spans="1:42" ht="14.25">
      <c r="A52" s="7" t="s">
        <v>45</v>
      </c>
      <c r="B52" s="156">
        <v>2416142.2400000002</v>
      </c>
      <c r="C52" s="90">
        <f t="shared" si="23"/>
        <v>1.6375072484368482E-3</v>
      </c>
      <c r="D52" s="154"/>
      <c r="E52" s="157">
        <v>32660</v>
      </c>
      <c r="F52" s="189">
        <f t="shared" si="1"/>
        <v>7.018436612085034E-3</v>
      </c>
      <c r="G52" s="87">
        <f t="shared" si="12"/>
        <v>5.9656711202722788E-3</v>
      </c>
      <c r="H52" s="88">
        <v>1658.08</v>
      </c>
      <c r="I52" s="189">
        <f t="shared" si="2"/>
        <v>2.5818691768656987E-2</v>
      </c>
      <c r="J52" s="89">
        <f t="shared" si="13"/>
        <v>3.8728037652985478E-3</v>
      </c>
      <c r="K52" s="90">
        <f t="shared" si="14"/>
        <v>9.8384748855708266E-3</v>
      </c>
      <c r="M52" s="91">
        <v>2382</v>
      </c>
      <c r="N52" s="92">
        <v>572</v>
      </c>
      <c r="O52" s="92">
        <v>6969</v>
      </c>
      <c r="P52" s="92">
        <v>1381</v>
      </c>
      <c r="Q52" s="93">
        <f t="shared" si="15"/>
        <v>1.3929466142391658E-3</v>
      </c>
      <c r="R52" s="93">
        <f t="shared" si="15"/>
        <v>1.6256835260279891E-3</v>
      </c>
      <c r="S52" s="93">
        <f t="shared" si="15"/>
        <v>5.2147872779843042E-3</v>
      </c>
      <c r="T52" s="93">
        <f t="shared" si="15"/>
        <v>8.8202232838566277E-3</v>
      </c>
      <c r="U52" s="94">
        <f t="shared" si="16"/>
        <v>1.7053640702108089E-2</v>
      </c>
      <c r="V52" s="95">
        <v>1795.99999997852</v>
      </c>
      <c r="W52" s="95">
        <v>775</v>
      </c>
      <c r="X52" s="95">
        <v>2276</v>
      </c>
      <c r="Y52" s="95">
        <v>675</v>
      </c>
      <c r="Z52" s="93">
        <f t="shared" si="17"/>
        <v>1.41249158482677E-3</v>
      </c>
      <c r="AA52" s="93">
        <f t="shared" si="4"/>
        <v>2.6453401054040032E-3</v>
      </c>
      <c r="AB52" s="93">
        <f t="shared" si="4"/>
        <v>4.6216576237044739E-3</v>
      </c>
      <c r="AC52" s="93">
        <f t="shared" si="4"/>
        <v>1.2294186215940551E-2</v>
      </c>
      <c r="AD52" s="86">
        <f t="shared" si="18"/>
        <v>2.09736755298758E-2</v>
      </c>
      <c r="AE52" s="97">
        <f t="shared" si="19"/>
        <v>1.782762420039443E-2</v>
      </c>
      <c r="AF52" s="189">
        <f t="shared" si="5"/>
        <v>0.22986498286451734</v>
      </c>
      <c r="AG52" s="205">
        <f t="shared" si="6"/>
        <v>0</v>
      </c>
      <c r="AH52" s="189">
        <f t="shared" si="20"/>
        <v>0</v>
      </c>
      <c r="AI52" s="87">
        <f t="shared" si="24"/>
        <v>0</v>
      </c>
      <c r="AJ52" s="90">
        <f t="shared" si="25"/>
        <v>1.782762420039443E-2</v>
      </c>
      <c r="AL52" s="100">
        <f t="shared" si="26"/>
        <v>531579.33718555886</v>
      </c>
      <c r="AM52" s="101">
        <f t="shared" si="27"/>
        <v>1596918.1093949226</v>
      </c>
      <c r="AN52" s="101">
        <f t="shared" si="21"/>
        <v>2893665.5593693941</v>
      </c>
      <c r="AO52" s="101">
        <f t="shared" si="11"/>
        <v>5022163.0059498753</v>
      </c>
      <c r="AP52" s="145">
        <f t="shared" si="22"/>
        <v>7.7352783957097392E-3</v>
      </c>
    </row>
    <row r="53" spans="1:42" ht="14.25">
      <c r="A53" s="7" t="s">
        <v>46</v>
      </c>
      <c r="B53" s="156">
        <v>159581099.32999998</v>
      </c>
      <c r="C53" s="90">
        <f t="shared" si="23"/>
        <v>0.10815390027136632</v>
      </c>
      <c r="D53" s="154"/>
      <c r="E53" s="157">
        <v>443273</v>
      </c>
      <c r="F53" s="189">
        <f t="shared" si="1"/>
        <v>9.5256688681836177E-2</v>
      </c>
      <c r="G53" s="87">
        <f t="shared" si="12"/>
        <v>8.0968185379560742E-2</v>
      </c>
      <c r="H53" s="88">
        <v>60.1</v>
      </c>
      <c r="I53" s="189">
        <f t="shared" si="2"/>
        <v>9.3584349084259205E-4</v>
      </c>
      <c r="J53" s="89">
        <f t="shared" si="13"/>
        <v>1.403765236263888E-4</v>
      </c>
      <c r="K53" s="90">
        <f t="shared" si="14"/>
        <v>8.1108561903187132E-2</v>
      </c>
      <c r="M53" s="91">
        <v>40580</v>
      </c>
      <c r="N53" s="92">
        <v>5745</v>
      </c>
      <c r="O53" s="92">
        <v>2165</v>
      </c>
      <c r="P53" s="92">
        <v>472</v>
      </c>
      <c r="Q53" s="93">
        <f t="shared" si="15"/>
        <v>2.3730383545686545E-2</v>
      </c>
      <c r="R53" s="93">
        <f t="shared" si="15"/>
        <v>1.6327887861941955E-2</v>
      </c>
      <c r="S53" s="93">
        <f t="shared" si="15"/>
        <v>1.6200336428233632E-3</v>
      </c>
      <c r="T53" s="93">
        <f t="shared" si="15"/>
        <v>3.0145875380016862E-3</v>
      </c>
      <c r="U53" s="94">
        <f t="shared" si="16"/>
        <v>4.4692892588453548E-2</v>
      </c>
      <c r="V53" s="95">
        <v>18155.999999995089</v>
      </c>
      <c r="W53" s="95">
        <v>4217</v>
      </c>
      <c r="X53" s="95">
        <v>161</v>
      </c>
      <c r="Y53" s="95">
        <v>91</v>
      </c>
      <c r="Z53" s="93">
        <f t="shared" si="17"/>
        <v>1.4279063036979183E-2</v>
      </c>
      <c r="AA53" s="93">
        <f t="shared" si="4"/>
        <v>1.4394063515469267E-2</v>
      </c>
      <c r="AB53" s="93">
        <f t="shared" si="4"/>
        <v>3.2692745053445531E-4</v>
      </c>
      <c r="AC53" s="93">
        <f t="shared" si="4"/>
        <v>1.6574384380008743E-3</v>
      </c>
      <c r="AD53" s="86">
        <f t="shared" si="18"/>
        <v>3.0657492440983779E-2</v>
      </c>
      <c r="AE53" s="97">
        <f t="shared" si="19"/>
        <v>2.6058868574836212E-2</v>
      </c>
      <c r="AF53" s="189">
        <f t="shared" si="5"/>
        <v>-0.3140409880540117</v>
      </c>
      <c r="AG53" s="205">
        <f t="shared" si="6"/>
        <v>-0.3140409880540117</v>
      </c>
      <c r="AH53" s="189">
        <f t="shared" si="20"/>
        <v>5.8518530393766088E-2</v>
      </c>
      <c r="AI53" s="87">
        <f t="shared" si="24"/>
        <v>8.7777795590649136E-3</v>
      </c>
      <c r="AJ53" s="90">
        <f t="shared" si="25"/>
        <v>3.4836648133901124E-2</v>
      </c>
      <c r="AL53" s="100">
        <f t="shared" si="26"/>
        <v>35109694.125120804</v>
      </c>
      <c r="AM53" s="101">
        <f t="shared" si="27"/>
        <v>13165021.290051674</v>
      </c>
      <c r="AN53" s="101">
        <f t="shared" si="21"/>
        <v>5654461.1764202137</v>
      </c>
      <c r="AO53" s="101">
        <f t="shared" si="11"/>
        <v>53929176.591592692</v>
      </c>
      <c r="AP53" s="145">
        <f t="shared" si="22"/>
        <v>8.3063252644955246E-2</v>
      </c>
    </row>
    <row r="54" spans="1:42" ht="14.25">
      <c r="A54" s="7" t="s">
        <v>47</v>
      </c>
      <c r="B54" s="156">
        <v>234624654.17999998</v>
      </c>
      <c r="C54" s="90">
        <f t="shared" si="23"/>
        <v>0.15901363981026995</v>
      </c>
      <c r="D54" s="154"/>
      <c r="E54" s="157">
        <v>122659</v>
      </c>
      <c r="F54" s="189">
        <f t="shared" si="1"/>
        <v>2.6358677783274286E-2</v>
      </c>
      <c r="G54" s="87">
        <f t="shared" si="12"/>
        <v>2.2404876115783144E-2</v>
      </c>
      <c r="H54" s="88">
        <v>72.010000000000005</v>
      </c>
      <c r="I54" s="189">
        <f t="shared" si="2"/>
        <v>1.1212993307084037E-3</v>
      </c>
      <c r="J54" s="89">
        <f t="shared" si="13"/>
        <v>1.6819489960626053E-4</v>
      </c>
      <c r="K54" s="90">
        <f t="shared" si="14"/>
        <v>2.2573071015389405E-2</v>
      </c>
      <c r="M54" s="91">
        <v>9903</v>
      </c>
      <c r="N54" s="92">
        <v>1776</v>
      </c>
      <c r="O54" s="92">
        <v>642</v>
      </c>
      <c r="P54" s="92">
        <v>85</v>
      </c>
      <c r="Q54" s="93">
        <f t="shared" si="15"/>
        <v>5.7910790599540133E-3</v>
      </c>
      <c r="R54" s="93">
        <f t="shared" si="15"/>
        <v>5.0475768220729174E-3</v>
      </c>
      <c r="S54" s="93">
        <f t="shared" si="15"/>
        <v>4.8039796706355622E-4</v>
      </c>
      <c r="T54" s="93">
        <f t="shared" si="15"/>
        <v>5.4288123036047315E-4</v>
      </c>
      <c r="U54" s="94">
        <f t="shared" si="16"/>
        <v>1.186193507945096E-2</v>
      </c>
      <c r="V54" s="95">
        <v>4908.0000000006539</v>
      </c>
      <c r="W54" s="95">
        <v>1283</v>
      </c>
      <c r="X54" s="95">
        <v>140</v>
      </c>
      <c r="Y54" s="95">
        <v>21</v>
      </c>
      <c r="Z54" s="93">
        <f t="shared" si="17"/>
        <v>3.8599714356423293E-3</v>
      </c>
      <c r="AA54" s="93">
        <f t="shared" si="4"/>
        <v>4.3793178777204334E-3</v>
      </c>
      <c r="AB54" s="93">
        <f t="shared" si="4"/>
        <v>2.8428473959517855E-4</v>
      </c>
      <c r="AC54" s="93">
        <f t="shared" si="4"/>
        <v>3.8248579338481716E-4</v>
      </c>
      <c r="AD54" s="86">
        <f t="shared" si="18"/>
        <v>8.9060598463427572E-3</v>
      </c>
      <c r="AE54" s="97">
        <f t="shared" si="19"/>
        <v>7.5701508693913431E-3</v>
      </c>
      <c r="AF54" s="189">
        <f t="shared" si="5"/>
        <v>-0.24918996886341233</v>
      </c>
      <c r="AG54" s="205">
        <f t="shared" si="6"/>
        <v>-0.24918996886341233</v>
      </c>
      <c r="AH54" s="189">
        <f t="shared" si="20"/>
        <v>4.6434164078757868E-2</v>
      </c>
      <c r="AI54" s="87">
        <f t="shared" si="24"/>
        <v>6.9651246118136801E-3</v>
      </c>
      <c r="AJ54" s="90">
        <f t="shared" si="25"/>
        <v>1.4535275481205024E-2</v>
      </c>
      <c r="AL54" s="100">
        <f t="shared" si="26"/>
        <v>51620147.229575083</v>
      </c>
      <c r="AM54" s="101">
        <f t="shared" si="27"/>
        <v>3663916.0345878662</v>
      </c>
      <c r="AN54" s="101">
        <f t="shared" si="21"/>
        <v>2359272.6424522009</v>
      </c>
      <c r="AO54" s="101">
        <f t="shared" si="11"/>
        <v>57643335.906615153</v>
      </c>
      <c r="AP54" s="145">
        <f t="shared" si="22"/>
        <v>8.8783906529283599E-2</v>
      </c>
    </row>
    <row r="55" spans="1:42" ht="14.25">
      <c r="A55" s="7" t="s">
        <v>48</v>
      </c>
      <c r="B55" s="156">
        <v>46244427.630000003</v>
      </c>
      <c r="C55" s="90">
        <f t="shared" si="23"/>
        <v>3.1341526252170591E-2</v>
      </c>
      <c r="D55" s="154"/>
      <c r="E55" s="157">
        <v>268955</v>
      </c>
      <c r="F55" s="189">
        <f t="shared" si="1"/>
        <v>5.7796804011124629E-2</v>
      </c>
      <c r="G55" s="87">
        <f t="shared" si="12"/>
        <v>4.9127283409455935E-2</v>
      </c>
      <c r="H55" s="88">
        <v>885.01</v>
      </c>
      <c r="I55" s="189">
        <f t="shared" si="2"/>
        <v>1.3780879331624E-2</v>
      </c>
      <c r="J55" s="89">
        <f t="shared" si="13"/>
        <v>2.0671318997435998E-3</v>
      </c>
      <c r="K55" s="90">
        <f t="shared" si="14"/>
        <v>5.1194415309199534E-2</v>
      </c>
      <c r="M55" s="91">
        <v>25924</v>
      </c>
      <c r="N55" s="92">
        <v>5313</v>
      </c>
      <c r="O55" s="92">
        <v>11983</v>
      </c>
      <c r="P55" s="92">
        <v>721</v>
      </c>
      <c r="Q55" s="93">
        <f t="shared" si="15"/>
        <v>1.5159843840275454E-2</v>
      </c>
      <c r="R55" s="93">
        <f t="shared" si="15"/>
        <v>1.5100098905221513E-2</v>
      </c>
      <c r="S55" s="93">
        <f t="shared" si="15"/>
        <v>8.9666804350819213E-3</v>
      </c>
      <c r="T55" s="93">
        <f t="shared" si="15"/>
        <v>4.6049102010576604E-3</v>
      </c>
      <c r="U55" s="94">
        <f t="shared" si="16"/>
        <v>4.3831533381636548E-2</v>
      </c>
      <c r="V55" s="95">
        <v>21053.000000219407</v>
      </c>
      <c r="W55" s="95">
        <v>4306</v>
      </c>
      <c r="X55" s="95">
        <v>2328</v>
      </c>
      <c r="Y55" s="95">
        <v>359</v>
      </c>
      <c r="Z55" s="93">
        <f t="shared" si="17"/>
        <v>1.655745285970131E-2</v>
      </c>
      <c r="AA55" s="93">
        <f t="shared" si="4"/>
        <v>1.4697850959831791E-2</v>
      </c>
      <c r="AB55" s="93">
        <f t="shared" si="4"/>
        <v>4.7272490984112542E-3</v>
      </c>
      <c r="AC55" s="93">
        <f t="shared" si="4"/>
        <v>6.5386857059594929E-3</v>
      </c>
      <c r="AD55" s="86">
        <f t="shared" si="18"/>
        <v>4.2521238623903848E-2</v>
      </c>
      <c r="AE55" s="97">
        <f t="shared" si="19"/>
        <v>3.6143052830318267E-2</v>
      </c>
      <c r="AF55" s="189">
        <f t="shared" si="5"/>
        <v>-2.9893883618537846E-2</v>
      </c>
      <c r="AG55" s="205">
        <f t="shared" si="6"/>
        <v>-2.9893883618537846E-2</v>
      </c>
      <c r="AH55" s="189">
        <f t="shared" si="20"/>
        <v>5.5704389034027758E-3</v>
      </c>
      <c r="AI55" s="87">
        <f t="shared" si="24"/>
        <v>8.3556583551041631E-4</v>
      </c>
      <c r="AJ55" s="90">
        <f t="shared" si="25"/>
        <v>3.6978618665828682E-2</v>
      </c>
      <c r="AL55" s="100">
        <f t="shared" si="26"/>
        <v>10174310.841931617</v>
      </c>
      <c r="AM55" s="101">
        <f t="shared" si="27"/>
        <v>8309548.9756288677</v>
      </c>
      <c r="AN55" s="101">
        <f t="shared" si="21"/>
        <v>6002132.0880207494</v>
      </c>
      <c r="AO55" s="101">
        <f t="shared" si="11"/>
        <v>24485991.905581236</v>
      </c>
      <c r="AP55" s="145">
        <f t="shared" si="22"/>
        <v>3.7714021619842358E-2</v>
      </c>
    </row>
    <row r="56" spans="1:42" ht="14.25">
      <c r="A56" s="7" t="s">
        <v>49</v>
      </c>
      <c r="B56" s="156">
        <v>12863056.479999999</v>
      </c>
      <c r="C56" s="90">
        <f t="shared" si="23"/>
        <v>8.7177600202265268E-3</v>
      </c>
      <c r="D56" s="154"/>
      <c r="E56" s="157">
        <v>40469</v>
      </c>
      <c r="F56" s="189">
        <f t="shared" si="1"/>
        <v>8.6965435166708287E-3</v>
      </c>
      <c r="G56" s="87">
        <f t="shared" si="12"/>
        <v>7.3920619891702042E-3</v>
      </c>
      <c r="H56" s="88">
        <v>746.48</v>
      </c>
      <c r="I56" s="189">
        <f t="shared" si="2"/>
        <v>1.1623767870951384E-2</v>
      </c>
      <c r="J56" s="89">
        <f t="shared" si="13"/>
        <v>1.7435651806427075E-3</v>
      </c>
      <c r="K56" s="90">
        <f t="shared" si="14"/>
        <v>9.1356271698129123E-3</v>
      </c>
      <c r="M56" s="91">
        <v>4577</v>
      </c>
      <c r="N56" s="92">
        <v>1003</v>
      </c>
      <c r="O56" s="92">
        <v>3403</v>
      </c>
      <c r="P56" s="92">
        <v>757</v>
      </c>
      <c r="Q56" s="93">
        <f t="shared" si="15"/>
        <v>2.6765393171169867E-3</v>
      </c>
      <c r="R56" s="93">
        <f t="shared" si="15"/>
        <v>2.8506303786819459E-3</v>
      </c>
      <c r="S56" s="93">
        <f t="shared" si="15"/>
        <v>2.5464085388119655E-3</v>
      </c>
      <c r="T56" s="93">
        <f t="shared" si="15"/>
        <v>4.8348363692103311E-3</v>
      </c>
      <c r="U56" s="94">
        <f t="shared" si="16"/>
        <v>1.2908414603821229E-2</v>
      </c>
      <c r="V56" s="95">
        <v>2792.0000000464884</v>
      </c>
      <c r="W56" s="95">
        <v>666</v>
      </c>
      <c r="X56" s="95">
        <v>1225</v>
      </c>
      <c r="Y56" s="95">
        <v>325</v>
      </c>
      <c r="Z56" s="93">
        <f t="shared" si="17"/>
        <v>2.1958109715752628E-3</v>
      </c>
      <c r="AA56" s="93">
        <f t="shared" si="4"/>
        <v>2.2732858196116983E-3</v>
      </c>
      <c r="AB56" s="93">
        <f t="shared" si="4"/>
        <v>2.4874914714578121E-3</v>
      </c>
      <c r="AC56" s="93">
        <f t="shared" si="4"/>
        <v>5.9194229928602651E-3</v>
      </c>
      <c r="AD56" s="86">
        <f t="shared" si="18"/>
        <v>1.2876011255505039E-2</v>
      </c>
      <c r="AE56" s="97">
        <f t="shared" si="19"/>
        <v>1.0944609567179282E-2</v>
      </c>
      <c r="AF56" s="189">
        <f t="shared" si="5"/>
        <v>-2.5102500431461333E-3</v>
      </c>
      <c r="AG56" s="205">
        <f t="shared" si="6"/>
        <v>-2.5102500431461333E-3</v>
      </c>
      <c r="AH56" s="189">
        <f t="shared" si="20"/>
        <v>4.6776105360022324E-4</v>
      </c>
      <c r="AI56" s="87">
        <f t="shared" si="24"/>
        <v>7.0164158040033481E-5</v>
      </c>
      <c r="AJ56" s="90">
        <f t="shared" si="25"/>
        <v>1.1014773725219315E-2</v>
      </c>
      <c r="AL56" s="100">
        <f t="shared" si="26"/>
        <v>2830021.7282815296</v>
      </c>
      <c r="AM56" s="101">
        <f t="shared" si="27"/>
        <v>1482836.3783852949</v>
      </c>
      <c r="AN56" s="101">
        <f t="shared" si="21"/>
        <v>1787847.388672736</v>
      </c>
      <c r="AO56" s="101">
        <f t="shared" si="11"/>
        <v>6100705.4953395613</v>
      </c>
      <c r="AP56" s="145">
        <f t="shared" si="22"/>
        <v>9.3964802338713238E-3</v>
      </c>
    </row>
    <row r="57" spans="1:42" ht="14.25">
      <c r="A57" s="7" t="s">
        <v>50</v>
      </c>
      <c r="B57" s="156">
        <v>60647</v>
      </c>
      <c r="C57" s="90">
        <f t="shared" si="23"/>
        <v>4.1102672041340384E-5</v>
      </c>
      <c r="D57" s="154"/>
      <c r="E57" s="157">
        <v>1971</v>
      </c>
      <c r="F57" s="189">
        <f t="shared" si="1"/>
        <v>4.2355598782668714E-4</v>
      </c>
      <c r="G57" s="87">
        <f t="shared" si="12"/>
        <v>3.6002258965268404E-4</v>
      </c>
      <c r="H57" s="88">
        <v>1766.28</v>
      </c>
      <c r="I57" s="189">
        <f t="shared" si="2"/>
        <v>2.7503521480955966E-2</v>
      </c>
      <c r="J57" s="89">
        <f t="shared" si="13"/>
        <v>4.1255282221433947E-3</v>
      </c>
      <c r="K57" s="90">
        <f t="shared" si="14"/>
        <v>4.4855508117960788E-3</v>
      </c>
      <c r="M57" s="91">
        <v>477</v>
      </c>
      <c r="N57" s="92">
        <v>88</v>
      </c>
      <c r="O57" s="92">
        <v>1037</v>
      </c>
      <c r="P57" s="92">
        <v>127</v>
      </c>
      <c r="Q57" s="93">
        <f t="shared" si="15"/>
        <v>2.7894019101262893E-4</v>
      </c>
      <c r="R57" s="93">
        <f t="shared" si="15"/>
        <v>2.5010515785045984E-4</v>
      </c>
      <c r="S57" s="93">
        <f t="shared" si="15"/>
        <v>7.7596992499206823E-4</v>
      </c>
      <c r="T57" s="93">
        <f t="shared" si="15"/>
        <v>8.1112842653858932E-4</v>
      </c>
      <c r="U57" s="94">
        <f t="shared" si="16"/>
        <v>2.1161437003937465E-3</v>
      </c>
      <c r="V57" s="95">
        <v>265.99999999676999</v>
      </c>
      <c r="W57" s="95">
        <v>85</v>
      </c>
      <c r="X57" s="95">
        <v>641</v>
      </c>
      <c r="Y57" s="95">
        <v>46</v>
      </c>
      <c r="Z57" s="93">
        <f t="shared" si="17"/>
        <v>2.0919975588187754E-4</v>
      </c>
      <c r="AA57" s="93">
        <f t="shared" si="4"/>
        <v>2.9013407607656811E-4</v>
      </c>
      <c r="AB57" s="93">
        <f t="shared" si="4"/>
        <v>1.3016179862893531E-3</v>
      </c>
      <c r="AC57" s="93">
        <f t="shared" si="4"/>
        <v>8.3782602360483755E-4</v>
      </c>
      <c r="AD57" s="86">
        <f t="shared" si="18"/>
        <v>2.6387778418526363E-3</v>
      </c>
      <c r="AE57" s="97">
        <f t="shared" si="19"/>
        <v>2.2429611655747409E-3</v>
      </c>
      <c r="AF57" s="189">
        <f t="shared" si="5"/>
        <v>0.24697478784717899</v>
      </c>
      <c r="AG57" s="205">
        <f t="shared" si="6"/>
        <v>0</v>
      </c>
      <c r="AH57" s="189">
        <f t="shared" si="20"/>
        <v>0</v>
      </c>
      <c r="AI57" s="87">
        <f t="shared" si="24"/>
        <v>0</v>
      </c>
      <c r="AJ57" s="90">
        <f t="shared" si="25"/>
        <v>2.2429611655747409E-3</v>
      </c>
      <c r="AL57" s="100">
        <f t="shared" si="26"/>
        <v>13343.043935315905</v>
      </c>
      <c r="AM57" s="101">
        <f t="shared" si="27"/>
        <v>728065.82374608109</v>
      </c>
      <c r="AN57" s="101">
        <f t="shared" si="21"/>
        <v>364063.06319173274</v>
      </c>
      <c r="AO57" s="101">
        <f t="shared" si="11"/>
        <v>1105471.9308731297</v>
      </c>
      <c r="AP57" s="145">
        <f t="shared" si="22"/>
        <v>1.7026793303633755E-3</v>
      </c>
    </row>
    <row r="58" spans="1:42" ht="14.25">
      <c r="A58" s="7" t="s">
        <v>51</v>
      </c>
      <c r="B58" s="156">
        <v>286731</v>
      </c>
      <c r="C58" s="90">
        <f t="shared" si="23"/>
        <v>1.9432800067745425E-4</v>
      </c>
      <c r="D58" s="154"/>
      <c r="E58" s="157">
        <v>4113</v>
      </c>
      <c r="F58" s="189">
        <f t="shared" si="1"/>
        <v>8.8385884217715089E-4</v>
      </c>
      <c r="G58" s="87">
        <f t="shared" si="12"/>
        <v>7.5128001585057823E-4</v>
      </c>
      <c r="H58" s="88">
        <v>879.68</v>
      </c>
      <c r="I58" s="189">
        <f t="shared" si="2"/>
        <v>1.3697883561138291E-2</v>
      </c>
      <c r="J58" s="89">
        <f t="shared" si="13"/>
        <v>2.0546825341707436E-3</v>
      </c>
      <c r="K58" s="90">
        <f t="shared" si="14"/>
        <v>2.8059625500213218E-3</v>
      </c>
      <c r="M58" s="91">
        <v>765</v>
      </c>
      <c r="N58" s="92">
        <v>138</v>
      </c>
      <c r="O58" s="92">
        <v>1343</v>
      </c>
      <c r="P58" s="92">
        <v>81</v>
      </c>
      <c r="Q58" s="93">
        <f t="shared" si="15"/>
        <v>4.4735691011459354E-4</v>
      </c>
      <c r="R58" s="93">
        <f t="shared" si="15"/>
        <v>3.9221036117458475E-4</v>
      </c>
      <c r="S58" s="93">
        <f t="shared" si="15"/>
        <v>1.0049446569569407E-3</v>
      </c>
      <c r="T58" s="93">
        <f t="shared" si="15"/>
        <v>5.1733387834350972E-4</v>
      </c>
      <c r="U58" s="94">
        <f t="shared" si="16"/>
        <v>2.3618458065896289E-3</v>
      </c>
      <c r="V58" s="95">
        <v>609.99999999842794</v>
      </c>
      <c r="W58" s="95">
        <v>123</v>
      </c>
      <c r="X58" s="95">
        <v>468</v>
      </c>
      <c r="Y58" s="95">
        <v>34</v>
      </c>
      <c r="Z58" s="93">
        <f t="shared" si="17"/>
        <v>4.7974380108709025E-4</v>
      </c>
      <c r="AA58" s="93">
        <f t="shared" si="4"/>
        <v>4.198410747931515E-4</v>
      </c>
      <c r="AB58" s="93">
        <f t="shared" si="4"/>
        <v>9.5032327236102532E-4</v>
      </c>
      <c r="AC58" s="93">
        <f t="shared" si="4"/>
        <v>6.1926271309922776E-4</v>
      </c>
      <c r="AD58" s="86">
        <f t="shared" si="18"/>
        <v>2.4691708613404947E-3</v>
      </c>
      <c r="AE58" s="97">
        <f t="shared" si="19"/>
        <v>2.0987952321394206E-3</v>
      </c>
      <c r="AF58" s="189">
        <f t="shared" si="5"/>
        <v>4.5441177595686125E-2</v>
      </c>
      <c r="AG58" s="205">
        <f t="shared" si="6"/>
        <v>0</v>
      </c>
      <c r="AH58" s="189">
        <f t="shared" si="20"/>
        <v>0</v>
      </c>
      <c r="AI58" s="87">
        <f t="shared" si="24"/>
        <v>0</v>
      </c>
      <c r="AJ58" s="90">
        <f t="shared" si="25"/>
        <v>2.0987952321394206E-3</v>
      </c>
      <c r="AL58" s="100">
        <f t="shared" si="26"/>
        <v>63084.148113131138</v>
      </c>
      <c r="AM58" s="101">
        <f t="shared" si="27"/>
        <v>455445.83510445425</v>
      </c>
      <c r="AN58" s="101">
        <f t="shared" si="21"/>
        <v>340662.9739971839</v>
      </c>
      <c r="AO58" s="101">
        <f t="shared" si="11"/>
        <v>859192.95721476921</v>
      </c>
      <c r="AP58" s="145">
        <f t="shared" si="22"/>
        <v>1.3233534458789128E-3</v>
      </c>
    </row>
    <row r="59" spans="1:42" ht="15.75" thickBot="1">
      <c r="A59" s="11" t="s">
        <v>52</v>
      </c>
      <c r="B59" s="158">
        <f>SUM(B8:B58)</f>
        <v>1475500180.1100001</v>
      </c>
      <c r="C59" s="108">
        <f t="shared" si="23"/>
        <v>1</v>
      </c>
      <c r="D59" s="159"/>
      <c r="E59" s="160">
        <f>SUM(E8:E58)</f>
        <v>4653458</v>
      </c>
      <c r="F59" s="190">
        <f>SUM(F8:F58)</f>
        <v>0.99999999999999989</v>
      </c>
      <c r="G59" s="105">
        <f>SUM(G8:G58)</f>
        <v>0.85000000000000009</v>
      </c>
      <c r="H59" s="106">
        <f>SUM(H8:H58)</f>
        <v>64220.140000000021</v>
      </c>
      <c r="I59" s="190">
        <f t="shared" si="2"/>
        <v>1</v>
      </c>
      <c r="J59" s="107">
        <f>SUM(J8:J58)</f>
        <v>0.15</v>
      </c>
      <c r="K59" s="108">
        <f>SUM(K8:K58)</f>
        <v>1</v>
      </c>
      <c r="M59" s="109">
        <v>427511</v>
      </c>
      <c r="N59" s="110">
        <v>87963</v>
      </c>
      <c r="O59" s="110">
        <v>334098</v>
      </c>
      <c r="P59" s="110">
        <v>39143</v>
      </c>
      <c r="Q59" s="111">
        <f>SUM(Q8:Q58)</f>
        <v>0.25</v>
      </c>
      <c r="R59" s="111">
        <f t="shared" ref="R59:T59" si="28">SUM(R8:R58)</f>
        <v>0.24999999999999994</v>
      </c>
      <c r="S59" s="111">
        <f t="shared" si="28"/>
        <v>0.25</v>
      </c>
      <c r="T59" s="111">
        <f t="shared" si="28"/>
        <v>0.25</v>
      </c>
      <c r="U59" s="112">
        <f>SUM(U8:U58)</f>
        <v>1</v>
      </c>
      <c r="V59" s="113">
        <v>317877.99999509094</v>
      </c>
      <c r="W59" s="113">
        <v>73242</v>
      </c>
      <c r="X59" s="113">
        <v>123116</v>
      </c>
      <c r="Y59" s="113">
        <v>13726</v>
      </c>
      <c r="Z59" s="111">
        <f>SUM(Z8:Z58)</f>
        <v>0.24999999999999994</v>
      </c>
      <c r="AA59" s="111">
        <f t="shared" ref="AA59:AC59" si="29">SUM(AA8:AA58)</f>
        <v>0.24999999999999997</v>
      </c>
      <c r="AB59" s="111">
        <f t="shared" si="29"/>
        <v>0.24999999999999997</v>
      </c>
      <c r="AC59" s="111">
        <f t="shared" si="29"/>
        <v>0.25000000000000006</v>
      </c>
      <c r="AD59" s="112">
        <f>SUM(AD8:AD58)</f>
        <v>1.0000000000000002</v>
      </c>
      <c r="AE59" s="115">
        <f>SUM(AE8:AE58)</f>
        <v>0.85</v>
      </c>
      <c r="AF59" s="116"/>
      <c r="AG59" s="206">
        <f>SUM(AG8:AG58)</f>
        <v>-5.3665221245451189</v>
      </c>
      <c r="AH59" s="161">
        <f>SUM(AH8:AH58)</f>
        <v>1.0000000000000002</v>
      </c>
      <c r="AI59" s="105">
        <f>SUM(AI8:AI58)</f>
        <v>0.15000000000000005</v>
      </c>
      <c r="AJ59" s="108">
        <f>SUM(AJ8:AJ58)</f>
        <v>1.0000000000000002</v>
      </c>
      <c r="AL59" s="121">
        <f>SUM(AL8:AL58)</f>
        <v>324627165.8907162</v>
      </c>
      <c r="AM59" s="122">
        <f t="shared" ref="AM59:AN59" si="30">SUM(AM8:AM58)</f>
        <v>162313582.94535804</v>
      </c>
      <c r="AN59" s="122">
        <f t="shared" si="30"/>
        <v>162313582.94535804</v>
      </c>
      <c r="AO59" s="122">
        <f>SUM(AO8:AO58)</f>
        <v>649254331.78143215</v>
      </c>
      <c r="AP59" s="148">
        <f>SUM(AP8:AP58)</f>
        <v>1.0000000000000002</v>
      </c>
    </row>
    <row r="60" spans="1:42" ht="13.5" thickTop="1">
      <c r="I60" s="125"/>
      <c r="U60" s="127"/>
    </row>
    <row r="61" spans="1:42">
      <c r="A61" s="260" t="s">
        <v>122</v>
      </c>
      <c r="B61" s="260"/>
      <c r="C61" s="260"/>
      <c r="E61" s="261"/>
      <c r="F61" s="261"/>
      <c r="G61" s="261"/>
      <c r="H61" s="261"/>
      <c r="I61" s="261"/>
      <c r="J61" s="261"/>
      <c r="K61" s="261"/>
      <c r="U61" s="127"/>
    </row>
    <row r="62" spans="1:42">
      <c r="A62" s="55" t="s">
        <v>138</v>
      </c>
      <c r="B62" s="55" t="s">
        <v>138</v>
      </c>
      <c r="C62" s="55" t="s">
        <v>138</v>
      </c>
      <c r="M62" s="52"/>
      <c r="N62" s="52"/>
      <c r="O62" s="52"/>
      <c r="P62" s="52"/>
      <c r="Q62" s="52"/>
      <c r="R62" s="52"/>
      <c r="S62" s="52"/>
      <c r="T62" s="52"/>
      <c r="U62" s="127"/>
      <c r="V62" s="130"/>
      <c r="W62" s="52"/>
      <c r="X62" s="52"/>
      <c r="Y62" s="52"/>
      <c r="Z62" s="52"/>
      <c r="AA62" s="52"/>
      <c r="AB62" s="52"/>
      <c r="AC62" s="52"/>
    </row>
    <row r="63" spans="1:42" ht="12.75" customHeight="1">
      <c r="A63" s="162" t="s">
        <v>219</v>
      </c>
      <c r="B63" s="162"/>
      <c r="C63" s="162"/>
      <c r="U63" s="127"/>
    </row>
    <row r="64" spans="1:42">
      <c r="U64" s="127"/>
    </row>
    <row r="65" spans="21:21">
      <c r="U65" s="127"/>
    </row>
    <row r="66" spans="21:21">
      <c r="U66" s="127"/>
    </row>
    <row r="67" spans="21:21">
      <c r="U67" s="127"/>
    </row>
    <row r="68" spans="21:21">
      <c r="U68" s="127"/>
    </row>
    <row r="69" spans="21:21">
      <c r="U69" s="127"/>
    </row>
    <row r="70" spans="21:21">
      <c r="U70" s="127"/>
    </row>
    <row r="71" spans="21:21">
      <c r="U71" s="127"/>
    </row>
    <row r="72" spans="21:21">
      <c r="U72" s="127"/>
    </row>
    <row r="73" spans="21:21">
      <c r="U73" s="127"/>
    </row>
    <row r="74" spans="21:21">
      <c r="U74" s="127"/>
    </row>
    <row r="75" spans="21:21">
      <c r="U75" s="127"/>
    </row>
    <row r="76" spans="21:21">
      <c r="U76" s="127"/>
    </row>
    <row r="77" spans="21:21">
      <c r="U77" s="127"/>
    </row>
    <row r="78" spans="21:21">
      <c r="U78" s="127"/>
    </row>
    <row r="79" spans="21:21">
      <c r="U79" s="127"/>
    </row>
    <row r="80" spans="21:21">
      <c r="U80" s="127"/>
    </row>
    <row r="81" spans="21:21">
      <c r="U81" s="127"/>
    </row>
    <row r="82" spans="21:21">
      <c r="U82" s="127"/>
    </row>
    <row r="83" spans="21:21">
      <c r="U83" s="127"/>
    </row>
    <row r="84" spans="21:21">
      <c r="U84" s="127"/>
    </row>
    <row r="85" spans="21:21">
      <c r="U85" s="127"/>
    </row>
    <row r="86" spans="21:21">
      <c r="U86" s="127"/>
    </row>
    <row r="87" spans="21:21">
      <c r="U87" s="127"/>
    </row>
    <row r="88" spans="21:21">
      <c r="U88" s="127"/>
    </row>
  </sheetData>
  <mergeCells count="6">
    <mergeCell ref="A61:C61"/>
    <mergeCell ref="E61:K61"/>
    <mergeCell ref="A1:AP1"/>
    <mergeCell ref="B3:C3"/>
    <mergeCell ref="E3:K3"/>
    <mergeCell ref="M3:AJ3"/>
  </mergeCells>
  <printOptions horizontalCentered="1"/>
  <pageMargins left="0.19" right="0.19685039370078741" top="7.874015748031496E-2" bottom="0.12" header="0" footer="0.11811023622047245"/>
  <pageSetup scale="60" orientation="landscape" r:id="rId1"/>
  <headerFooter alignWithMargins="0">
    <oddFooter>&amp;R&amp;8&amp;D
&amp;F</oddFooter>
  </headerFooter>
  <colBreaks count="2" manualBreakCount="2">
    <brk id="12" max="1048575" man="1"/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65"/>
  <sheetViews>
    <sheetView tabSelected="1" zoomScaleNormal="100" zoomScaleSheetLayoutView="100" workbookViewId="0">
      <selection activeCell="B58" sqref="B58"/>
    </sheetView>
  </sheetViews>
  <sheetFormatPr baseColWidth="10" defaultColWidth="9.7109375" defaultRowHeight="12.75"/>
  <cols>
    <col min="1" max="1" width="28.7109375" style="1" customWidth="1"/>
    <col min="2" max="2" width="14" style="1" customWidth="1"/>
    <col min="3" max="3" width="14.28515625" style="1" customWidth="1"/>
    <col min="4" max="4" width="15.5703125" style="1" customWidth="1"/>
    <col min="5" max="5" width="13.42578125" style="1" customWidth="1"/>
    <col min="6" max="6" width="9.28515625" style="1" customWidth="1"/>
    <col min="7" max="7" width="19" style="1" customWidth="1"/>
    <col min="8" max="8" width="17.140625" style="1" customWidth="1"/>
    <col min="9" max="9" width="15.7109375" style="1" customWidth="1"/>
    <col min="10" max="10" width="14.28515625" style="1" customWidth="1"/>
    <col min="11" max="11" width="17.7109375" style="1" customWidth="1"/>
    <col min="12" max="12" width="16.85546875" style="1" customWidth="1"/>
    <col min="13" max="13" width="14.5703125" style="1" customWidth="1"/>
    <col min="14" max="14" width="13.5703125" style="19" customWidth="1"/>
    <col min="15" max="15" width="5.42578125" style="1" customWidth="1"/>
    <col min="16" max="16384" width="9.7109375" style="1"/>
  </cols>
  <sheetData>
    <row r="1" spans="1:14" ht="53.25" customHeight="1">
      <c r="A1" s="263" t="s">
        <v>249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.5" customHeight="1" thickBot="1">
      <c r="B2" s="170"/>
    </row>
    <row r="3" spans="1:14" ht="59.45" customHeight="1" thickBot="1">
      <c r="A3" s="267" t="s">
        <v>0</v>
      </c>
      <c r="B3" s="269" t="s">
        <v>230</v>
      </c>
      <c r="C3" s="269" t="s">
        <v>231</v>
      </c>
      <c r="D3" s="269" t="s">
        <v>232</v>
      </c>
      <c r="E3" s="272" t="s">
        <v>233</v>
      </c>
      <c r="F3" s="273"/>
      <c r="G3" s="244" t="s">
        <v>234</v>
      </c>
      <c r="H3" s="265" t="s">
        <v>235</v>
      </c>
      <c r="I3" s="269" t="s">
        <v>236</v>
      </c>
      <c r="J3" s="269" t="s">
        <v>237</v>
      </c>
      <c r="K3" s="245" t="s">
        <v>238</v>
      </c>
      <c r="L3" s="269" t="s">
        <v>239</v>
      </c>
      <c r="M3" s="269" t="s">
        <v>240</v>
      </c>
      <c r="N3" s="269" t="s">
        <v>250</v>
      </c>
    </row>
    <row r="4" spans="1:14" ht="20.45" customHeight="1" thickBot="1">
      <c r="A4" s="268"/>
      <c r="B4" s="270"/>
      <c r="C4" s="270"/>
      <c r="D4" s="271"/>
      <c r="E4" s="274"/>
      <c r="F4" s="275"/>
      <c r="G4" s="246">
        <v>3.092739035E-2</v>
      </c>
      <c r="H4" s="266"/>
      <c r="I4" s="270"/>
      <c r="J4" s="270"/>
      <c r="K4" s="247">
        <f>+H58/J58</f>
        <v>0.99999999989557997</v>
      </c>
      <c r="L4" s="270"/>
      <c r="M4" s="270"/>
      <c r="N4" s="270"/>
    </row>
    <row r="5" spans="1:14" ht="20.45" customHeight="1">
      <c r="A5" s="175"/>
      <c r="B5" s="207" t="s">
        <v>180</v>
      </c>
      <c r="C5" s="207" t="s">
        <v>180</v>
      </c>
      <c r="D5" s="208" t="s">
        <v>180</v>
      </c>
      <c r="E5" s="208" t="s">
        <v>180</v>
      </c>
      <c r="F5" s="208" t="s">
        <v>181</v>
      </c>
      <c r="G5" s="209" t="s">
        <v>180</v>
      </c>
      <c r="H5" s="207" t="s">
        <v>180</v>
      </c>
      <c r="I5" s="207" t="s">
        <v>180</v>
      </c>
      <c r="J5" s="209" t="s">
        <v>180</v>
      </c>
      <c r="K5" s="207" t="s">
        <v>180</v>
      </c>
      <c r="L5" s="207" t="s">
        <v>180</v>
      </c>
      <c r="M5" s="207"/>
      <c r="N5" s="207"/>
    </row>
    <row r="6" spans="1:14" ht="16.5" thickBot="1">
      <c r="A6" s="2"/>
      <c r="B6" s="3"/>
      <c r="C6" s="3"/>
      <c r="D6" s="4" t="s">
        <v>88</v>
      </c>
      <c r="E6" s="4"/>
      <c r="F6" s="216"/>
      <c r="G6" s="4" t="s">
        <v>178</v>
      </c>
      <c r="H6" s="4" t="s">
        <v>92</v>
      </c>
      <c r="I6" s="4" t="s">
        <v>89</v>
      </c>
      <c r="J6" s="4" t="s">
        <v>90</v>
      </c>
      <c r="K6" s="4" t="s">
        <v>91</v>
      </c>
      <c r="L6" s="4"/>
      <c r="M6" s="4"/>
      <c r="N6" s="4" t="s">
        <v>93</v>
      </c>
    </row>
    <row r="7" spans="1:14" ht="12.75" customHeight="1" thickTop="1">
      <c r="A7" s="5" t="s">
        <v>1</v>
      </c>
      <c r="B7" s="6">
        <v>9099371.8075675201</v>
      </c>
      <c r="C7" s="6">
        <f t="shared" ref="C7:C57" si="0">(+B7*G$4)+B7</f>
        <v>9380791.6313999463</v>
      </c>
      <c r="D7" s="6">
        <f>+'COEF DIST PART'!AR8+'COEF DIST GASOLINAS'!M8+'COEF DIST TEN'!AO8</f>
        <v>3724280.4044841947</v>
      </c>
      <c r="E7" s="6">
        <f>+D7-C7</f>
        <v>-5656511.2269157516</v>
      </c>
      <c r="F7" s="210">
        <f>+(D7-C7)/C7</f>
        <v>-0.6029886867950397</v>
      </c>
      <c r="G7" s="6">
        <f>IF(F7&lt;0,C7,0)</f>
        <v>9380791.6313999463</v>
      </c>
      <c r="H7" s="6">
        <f>IF(F7&lt;0,G7-D7,0)</f>
        <v>5656511.2269157516</v>
      </c>
      <c r="I7" s="6">
        <f>+IF(D7&gt;C7,D7,0)</f>
        <v>0</v>
      </c>
      <c r="J7" s="6">
        <f>IF(I7=0,0,D7-C7)</f>
        <v>0</v>
      </c>
      <c r="K7" s="6">
        <f>+J7*K$4</f>
        <v>0</v>
      </c>
      <c r="L7" s="6">
        <f t="shared" ref="L7:L38" si="1">IF(H7&lt;&gt;0,D7+H7,D7-K7)</f>
        <v>9380791.6313999463</v>
      </c>
      <c r="M7" s="210">
        <f t="shared" ref="M7:M38" si="2">+(L7-B7)/B7</f>
        <v>3.0927390350000049E-2</v>
      </c>
      <c r="N7" s="164">
        <f>+L7/L$58</f>
        <v>1.5047900422738068E-3</v>
      </c>
    </row>
    <row r="8" spans="1:14" ht="12.75" customHeight="1">
      <c r="A8" s="7" t="s">
        <v>2</v>
      </c>
      <c r="B8" s="8">
        <v>18058054.627640594</v>
      </c>
      <c r="C8" s="8">
        <f t="shared" si="0"/>
        <v>18616543.132071257</v>
      </c>
      <c r="D8" s="8">
        <f>+'COEF DIST PART'!AR9+'COEF DIST GASOLINAS'!M9+'COEF DIST TEN'!AO9</f>
        <v>18892988.328207433</v>
      </c>
      <c r="E8" s="8">
        <f t="shared" ref="E8:E57" si="3">+D8-C8</f>
        <v>276445.19613617659</v>
      </c>
      <c r="F8" s="211">
        <f t="shared" ref="F8:F58" si="4">+(D8-C8)/C8</f>
        <v>1.4849437630552176E-2</v>
      </c>
      <c r="G8" s="8">
        <f t="shared" ref="G8:G57" si="5">IF(F8&lt;0,C8,0)</f>
        <v>0</v>
      </c>
      <c r="H8" s="8">
        <f t="shared" ref="H8:H57" si="6">IF(F8&lt;0,G8-D8,0)</f>
        <v>0</v>
      </c>
      <c r="I8" s="8">
        <f t="shared" ref="I8:I57" si="7">+IF(D8&gt;C8,D8,0)</f>
        <v>18892988.328207433</v>
      </c>
      <c r="J8" s="8">
        <f>IF(I8=0,0,D8-C8)</f>
        <v>276445.19613617659</v>
      </c>
      <c r="K8" s="8">
        <f t="shared" ref="K8:K57" si="8">+J8*K$4</f>
        <v>276445.19610731018</v>
      </c>
      <c r="L8" s="8">
        <f t="shared" si="1"/>
        <v>18616543.132100124</v>
      </c>
      <c r="M8" s="211">
        <f t="shared" si="2"/>
        <v>3.0927390351598489E-2</v>
      </c>
      <c r="N8" s="163">
        <f t="shared" ref="N8:N57" si="9">+L8/L$58</f>
        <v>2.9863139303696923E-3</v>
      </c>
    </row>
    <row r="9" spans="1:14" ht="12.75" customHeight="1">
      <c r="A9" s="7" t="s">
        <v>3</v>
      </c>
      <c r="B9" s="8">
        <v>17669565.564291593</v>
      </c>
      <c r="C9" s="8">
        <f t="shared" si="0"/>
        <v>18216039.115813356</v>
      </c>
      <c r="D9" s="8">
        <f>+'COEF DIST PART'!AR10+'COEF DIST GASOLINAS'!M10+'COEF DIST TEN'!AO10</f>
        <v>19236560.586334713</v>
      </c>
      <c r="E9" s="8">
        <f t="shared" si="3"/>
        <v>1020521.4705213569</v>
      </c>
      <c r="F9" s="211">
        <f t="shared" si="4"/>
        <v>5.6023236667044785E-2</v>
      </c>
      <c r="G9" s="8">
        <f t="shared" si="5"/>
        <v>0</v>
      </c>
      <c r="H9" s="8">
        <f t="shared" si="6"/>
        <v>0</v>
      </c>
      <c r="I9" s="8">
        <f t="shared" si="7"/>
        <v>19236560.586334713</v>
      </c>
      <c r="J9" s="8">
        <f t="shared" ref="J9:J57" si="10">IF(I9=0,0,D9-C9)</f>
        <v>1020521.4705213569</v>
      </c>
      <c r="K9" s="8">
        <f t="shared" si="8"/>
        <v>1020521.4704147941</v>
      </c>
      <c r="L9" s="8">
        <f t="shared" si="1"/>
        <v>18216039.115919918</v>
      </c>
      <c r="M9" s="211">
        <f t="shared" si="2"/>
        <v>3.0927390356030766E-2</v>
      </c>
      <c r="N9" s="163">
        <f t="shared" si="9"/>
        <v>2.9220683443765727E-3</v>
      </c>
    </row>
    <row r="10" spans="1:14" ht="12.75" customHeight="1">
      <c r="A10" s="7" t="s">
        <v>4</v>
      </c>
      <c r="B10" s="8">
        <v>47840008.9523196</v>
      </c>
      <c r="C10" s="8">
        <f t="shared" si="0"/>
        <v>49319575.583535485</v>
      </c>
      <c r="D10" s="8">
        <f>+'COEF DIST PART'!AR11+'COEF DIST GASOLINAS'!M11+'COEF DIST TEN'!AO11</f>
        <v>50235881.338422477</v>
      </c>
      <c r="E10" s="8">
        <f t="shared" si="3"/>
        <v>916305.75488699228</v>
      </c>
      <c r="F10" s="211">
        <f t="shared" si="4"/>
        <v>1.8578946474001809E-2</v>
      </c>
      <c r="G10" s="8">
        <f t="shared" si="5"/>
        <v>0</v>
      </c>
      <c r="H10" s="8">
        <f t="shared" si="6"/>
        <v>0</v>
      </c>
      <c r="I10" s="8">
        <f t="shared" si="7"/>
        <v>50235881.338422477</v>
      </c>
      <c r="J10" s="8">
        <f t="shared" si="10"/>
        <v>916305.75488699228</v>
      </c>
      <c r="K10" s="8">
        <f t="shared" si="8"/>
        <v>916305.75479131157</v>
      </c>
      <c r="L10" s="8">
        <f t="shared" si="1"/>
        <v>49319575.583631165</v>
      </c>
      <c r="M10" s="211">
        <f t="shared" si="2"/>
        <v>3.092739035200006E-2</v>
      </c>
      <c r="N10" s="163">
        <f t="shared" si="9"/>
        <v>7.9114438464872872E-3</v>
      </c>
    </row>
    <row r="11" spans="1:14" ht="12.75" customHeight="1">
      <c r="A11" s="7" t="s">
        <v>5</v>
      </c>
      <c r="B11" s="8">
        <v>65716194.356307641</v>
      </c>
      <c r="C11" s="8">
        <f t="shared" si="0"/>
        <v>67748624.751481637</v>
      </c>
      <c r="D11" s="8">
        <f>+'COEF DIST PART'!AR12+'COEF DIST GASOLINAS'!M12+'COEF DIST TEN'!AO12</f>
        <v>60734185.105004244</v>
      </c>
      <c r="E11" s="8">
        <f t="shared" si="3"/>
        <v>-7014439.6464773938</v>
      </c>
      <c r="F11" s="211">
        <f t="shared" si="4"/>
        <v>-0.10353626619297523</v>
      </c>
      <c r="G11" s="8">
        <f t="shared" si="5"/>
        <v>67748624.751481637</v>
      </c>
      <c r="H11" s="8">
        <f t="shared" si="6"/>
        <v>7014439.6464773938</v>
      </c>
      <c r="I11" s="8">
        <f t="shared" si="7"/>
        <v>0</v>
      </c>
      <c r="J11" s="8">
        <f t="shared" si="10"/>
        <v>0</v>
      </c>
      <c r="K11" s="8">
        <f t="shared" si="8"/>
        <v>0</v>
      </c>
      <c r="L11" s="8">
        <f t="shared" si="1"/>
        <v>67748624.751481637</v>
      </c>
      <c r="M11" s="211">
        <f t="shared" si="2"/>
        <v>3.0927390350000049E-2</v>
      </c>
      <c r="N11" s="163">
        <f t="shared" si="9"/>
        <v>1.086768152514226E-2</v>
      </c>
    </row>
    <row r="12" spans="1:14" ht="12.75" customHeight="1">
      <c r="A12" s="7" t="s">
        <v>6</v>
      </c>
      <c r="B12" s="8">
        <v>417716540.88020557</v>
      </c>
      <c r="C12" s="8">
        <f t="shared" si="0"/>
        <v>430635423.39565945</v>
      </c>
      <c r="D12" s="8">
        <f>+'COEF DIST PART'!AR13+'COEF DIST GASOLINAS'!M13+'COEF DIST TEN'!AO13</f>
        <v>413339128.32496643</v>
      </c>
      <c r="E12" s="8">
        <f t="shared" si="3"/>
        <v>-17296295.070693016</v>
      </c>
      <c r="F12" s="211">
        <f t="shared" si="4"/>
        <v>-4.0164589652908131E-2</v>
      </c>
      <c r="G12" s="8">
        <f t="shared" si="5"/>
        <v>430635423.39565945</v>
      </c>
      <c r="H12" s="8">
        <f t="shared" si="6"/>
        <v>17296295.070693016</v>
      </c>
      <c r="I12" s="8">
        <f t="shared" si="7"/>
        <v>0</v>
      </c>
      <c r="J12" s="8">
        <f t="shared" si="10"/>
        <v>0</v>
      </c>
      <c r="K12" s="8">
        <f t="shared" si="8"/>
        <v>0</v>
      </c>
      <c r="L12" s="8">
        <f t="shared" si="1"/>
        <v>430635423.39565945</v>
      </c>
      <c r="M12" s="211">
        <f t="shared" si="2"/>
        <v>3.0927390350000059E-2</v>
      </c>
      <c r="N12" s="163">
        <f t="shared" si="9"/>
        <v>6.907902045356977E-2</v>
      </c>
    </row>
    <row r="13" spans="1:14" ht="12.75" customHeight="1">
      <c r="A13" s="7" t="s">
        <v>7</v>
      </c>
      <c r="B13" s="8">
        <v>73256544.660574466</v>
      </c>
      <c r="C13" s="8">
        <f t="shared" si="0"/>
        <v>75522178.412984267</v>
      </c>
      <c r="D13" s="8">
        <f>+'COEF DIST PART'!AR14+'COEF DIST GASOLINAS'!M14+'COEF DIST TEN'!AO14</f>
        <v>77542028.314918235</v>
      </c>
      <c r="E13" s="8">
        <f t="shared" si="3"/>
        <v>2019849.9019339681</v>
      </c>
      <c r="F13" s="211">
        <f t="shared" si="4"/>
        <v>2.6745122351856079E-2</v>
      </c>
      <c r="G13" s="8">
        <f t="shared" si="5"/>
        <v>0</v>
      </c>
      <c r="H13" s="8">
        <f t="shared" si="6"/>
        <v>0</v>
      </c>
      <c r="I13" s="8">
        <f t="shared" si="7"/>
        <v>77542028.314918235</v>
      </c>
      <c r="J13" s="8">
        <f t="shared" si="10"/>
        <v>2019849.9019339681</v>
      </c>
      <c r="K13" s="8">
        <f t="shared" si="8"/>
        <v>2019849.9017230552</v>
      </c>
      <c r="L13" s="8">
        <f t="shared" si="1"/>
        <v>75522178.413195178</v>
      </c>
      <c r="M13" s="211">
        <f t="shared" si="2"/>
        <v>3.0927390352879159E-2</v>
      </c>
      <c r="N13" s="163">
        <f t="shared" si="9"/>
        <v>1.2114651568061968E-2</v>
      </c>
    </row>
    <row r="14" spans="1:14" ht="12.75" customHeight="1">
      <c r="A14" s="7" t="s">
        <v>8</v>
      </c>
      <c r="B14" s="8">
        <v>11899293.868146246</v>
      </c>
      <c r="C14" s="8">
        <f t="shared" si="0"/>
        <v>12267307.974495767</v>
      </c>
      <c r="D14" s="8">
        <f>+'COEF DIST PART'!AR15+'COEF DIST GASOLINAS'!M15+'COEF DIST TEN'!AO15</f>
        <v>10501721.131499842</v>
      </c>
      <c r="E14" s="8">
        <f t="shared" si="3"/>
        <v>-1765586.8429959249</v>
      </c>
      <c r="F14" s="211">
        <f t="shared" si="4"/>
        <v>-0.14392618548964875</v>
      </c>
      <c r="G14" s="8">
        <f t="shared" si="5"/>
        <v>12267307.974495767</v>
      </c>
      <c r="H14" s="8">
        <f t="shared" si="6"/>
        <v>1765586.8429959249</v>
      </c>
      <c r="I14" s="8">
        <f t="shared" si="7"/>
        <v>0</v>
      </c>
      <c r="J14" s="8">
        <f t="shared" si="10"/>
        <v>0</v>
      </c>
      <c r="K14" s="8">
        <f t="shared" si="8"/>
        <v>0</v>
      </c>
      <c r="L14" s="8">
        <f t="shared" si="1"/>
        <v>12267307.974495767</v>
      </c>
      <c r="M14" s="211">
        <f t="shared" si="2"/>
        <v>3.092739035E-2</v>
      </c>
      <c r="N14" s="163">
        <f t="shared" si="9"/>
        <v>1.9678214388365481E-3</v>
      </c>
    </row>
    <row r="15" spans="1:14" ht="12.75" customHeight="1">
      <c r="A15" s="7" t="s">
        <v>9</v>
      </c>
      <c r="B15" s="8">
        <v>118593283.20492877</v>
      </c>
      <c r="C15" s="8">
        <f t="shared" si="0"/>
        <v>122261063.96749569</v>
      </c>
      <c r="D15" s="8">
        <f>+'COEF DIST PART'!AR16+'COEF DIST GASOLINAS'!M16+'COEF DIST TEN'!AO16</f>
        <v>102796233.90642489</v>
      </c>
      <c r="E15" s="8">
        <f t="shared" si="3"/>
        <v>-19464830.0610708</v>
      </c>
      <c r="F15" s="211">
        <f t="shared" si="4"/>
        <v>-0.15920710510294361</v>
      </c>
      <c r="G15" s="8">
        <f t="shared" si="5"/>
        <v>122261063.96749569</v>
      </c>
      <c r="H15" s="8">
        <f t="shared" si="6"/>
        <v>19464830.0610708</v>
      </c>
      <c r="I15" s="8">
        <f t="shared" si="7"/>
        <v>0</v>
      </c>
      <c r="J15" s="8">
        <f t="shared" si="10"/>
        <v>0</v>
      </c>
      <c r="K15" s="8">
        <f t="shared" si="8"/>
        <v>0</v>
      </c>
      <c r="L15" s="8">
        <f t="shared" si="1"/>
        <v>122261063.96749569</v>
      </c>
      <c r="M15" s="211">
        <f t="shared" si="2"/>
        <v>3.0927390349999941E-2</v>
      </c>
      <c r="N15" s="163">
        <f t="shared" si="9"/>
        <v>1.9612122179568391E-2</v>
      </c>
    </row>
    <row r="16" spans="1:14" ht="12.75" customHeight="1">
      <c r="A16" s="7" t="s">
        <v>10</v>
      </c>
      <c r="B16" s="8">
        <v>16912829.892564181</v>
      </c>
      <c r="C16" s="8">
        <f t="shared" si="0"/>
        <v>17435899.584574662</v>
      </c>
      <c r="D16" s="8">
        <f>+'COEF DIST PART'!AR17+'COEF DIST GASOLINAS'!M17+'COEF DIST TEN'!AO17</f>
        <v>17623370.292636458</v>
      </c>
      <c r="E16" s="8">
        <f t="shared" si="3"/>
        <v>187470.70806179568</v>
      </c>
      <c r="F16" s="211">
        <f t="shared" si="4"/>
        <v>1.0751995166779283E-2</v>
      </c>
      <c r="G16" s="8">
        <f t="shared" si="5"/>
        <v>0</v>
      </c>
      <c r="H16" s="8">
        <f t="shared" si="6"/>
        <v>0</v>
      </c>
      <c r="I16" s="8">
        <f t="shared" si="7"/>
        <v>17623370.292636458</v>
      </c>
      <c r="J16" s="8">
        <f t="shared" si="10"/>
        <v>187470.70806179568</v>
      </c>
      <c r="K16" s="8">
        <f t="shared" si="8"/>
        <v>187470.70804221998</v>
      </c>
      <c r="L16" s="8">
        <f t="shared" si="1"/>
        <v>17435899.584594239</v>
      </c>
      <c r="M16" s="211">
        <f t="shared" si="2"/>
        <v>3.0927390351157484E-2</v>
      </c>
      <c r="N16" s="163">
        <f t="shared" si="9"/>
        <v>2.7969247270305127E-3</v>
      </c>
    </row>
    <row r="17" spans="1:14" s="9" customFormat="1" ht="12.75" customHeight="1">
      <c r="A17" s="7" t="s">
        <v>11</v>
      </c>
      <c r="B17" s="8">
        <v>23847270.758633494</v>
      </c>
      <c r="C17" s="8">
        <f t="shared" si="0"/>
        <v>24584804.610167895</v>
      </c>
      <c r="D17" s="8">
        <f>+'COEF DIST PART'!AR18+'COEF DIST GASOLINAS'!M18+'COEF DIST TEN'!AO18</f>
        <v>24293309.952280801</v>
      </c>
      <c r="E17" s="8">
        <f t="shared" si="3"/>
        <v>-291494.65788709372</v>
      </c>
      <c r="F17" s="211">
        <f t="shared" si="4"/>
        <v>-1.1856700206050693E-2</v>
      </c>
      <c r="G17" s="8">
        <f t="shared" si="5"/>
        <v>24584804.610167895</v>
      </c>
      <c r="H17" s="8">
        <f t="shared" si="6"/>
        <v>291494.65788709372</v>
      </c>
      <c r="I17" s="8">
        <f t="shared" si="7"/>
        <v>0</v>
      </c>
      <c r="J17" s="8">
        <f t="shared" si="10"/>
        <v>0</v>
      </c>
      <c r="K17" s="8">
        <f t="shared" si="8"/>
        <v>0</v>
      </c>
      <c r="L17" s="8">
        <f t="shared" si="1"/>
        <v>24584804.610167895</v>
      </c>
      <c r="M17" s="211">
        <f t="shared" si="2"/>
        <v>3.0927390350000059E-2</v>
      </c>
      <c r="N17" s="163">
        <f t="shared" si="9"/>
        <v>3.9436937331382626E-3</v>
      </c>
    </row>
    <row r="18" spans="1:14" ht="12.75" customHeight="1">
      <c r="A18" s="7" t="s">
        <v>12</v>
      </c>
      <c r="B18" s="8">
        <v>60189970.470035255</v>
      </c>
      <c r="C18" s="8">
        <f t="shared" si="0"/>
        <v>62051489.181917012</v>
      </c>
      <c r="D18" s="8">
        <f>+'COEF DIST PART'!AR19+'COEF DIST GASOLINAS'!M19+'COEF DIST TEN'!AO19</f>
        <v>57131547.195595115</v>
      </c>
      <c r="E18" s="8">
        <f t="shared" si="3"/>
        <v>-4919941.9863218963</v>
      </c>
      <c r="F18" s="211">
        <f t="shared" si="4"/>
        <v>-7.9288056599222778E-2</v>
      </c>
      <c r="G18" s="8">
        <f t="shared" si="5"/>
        <v>62051489.181917012</v>
      </c>
      <c r="H18" s="8">
        <f t="shared" si="6"/>
        <v>4919941.9863218963</v>
      </c>
      <c r="I18" s="8">
        <f t="shared" si="7"/>
        <v>0</v>
      </c>
      <c r="J18" s="8">
        <f t="shared" si="10"/>
        <v>0</v>
      </c>
      <c r="K18" s="8">
        <f t="shared" si="8"/>
        <v>0</v>
      </c>
      <c r="L18" s="8">
        <f t="shared" si="1"/>
        <v>62051489.181917012</v>
      </c>
      <c r="M18" s="211">
        <f t="shared" si="2"/>
        <v>3.0927390350000059E-2</v>
      </c>
      <c r="N18" s="163">
        <f t="shared" si="9"/>
        <v>9.953793528113446E-3</v>
      </c>
    </row>
    <row r="19" spans="1:14" ht="12.75" customHeight="1">
      <c r="A19" s="7" t="s">
        <v>13</v>
      </c>
      <c r="B19" s="8">
        <v>30608091.518676318</v>
      </c>
      <c r="C19" s="8">
        <f t="shared" si="0"/>
        <v>31554719.912942946</v>
      </c>
      <c r="D19" s="8">
        <f>+'COEF DIST PART'!AR20+'COEF DIST GASOLINAS'!M20+'COEF DIST TEN'!AO20</f>
        <v>25048191.360844355</v>
      </c>
      <c r="E19" s="8">
        <f t="shared" si="3"/>
        <v>-6506528.5520985909</v>
      </c>
      <c r="F19" s="211">
        <f t="shared" si="4"/>
        <v>-0.20619826669511263</v>
      </c>
      <c r="G19" s="8">
        <f t="shared" si="5"/>
        <v>31554719.912942946</v>
      </c>
      <c r="H19" s="8">
        <f t="shared" si="6"/>
        <v>6506528.5520985909</v>
      </c>
      <c r="I19" s="8">
        <f t="shared" si="7"/>
        <v>0</v>
      </c>
      <c r="J19" s="8">
        <f t="shared" si="10"/>
        <v>0</v>
      </c>
      <c r="K19" s="8">
        <f t="shared" si="8"/>
        <v>0</v>
      </c>
      <c r="L19" s="8">
        <f t="shared" si="1"/>
        <v>31554719.912942946</v>
      </c>
      <c r="M19" s="211">
        <f t="shared" si="2"/>
        <v>3.0927390350000031E-2</v>
      </c>
      <c r="N19" s="163">
        <f t="shared" si="9"/>
        <v>5.0617506685466549E-3</v>
      </c>
    </row>
    <row r="20" spans="1:14" ht="12.75" customHeight="1">
      <c r="A20" s="7" t="s">
        <v>14</v>
      </c>
      <c r="B20" s="8">
        <v>159869664.46037173</v>
      </c>
      <c r="C20" s="8">
        <f t="shared" si="0"/>
        <v>164814015.97826117</v>
      </c>
      <c r="D20" s="8">
        <f>+'COEF DIST PART'!AR21+'COEF DIST GASOLINAS'!M21+'COEF DIST TEN'!AO21</f>
        <v>174067114.26453328</v>
      </c>
      <c r="E20" s="8">
        <f t="shared" si="3"/>
        <v>9253098.2862721086</v>
      </c>
      <c r="F20" s="211">
        <f t="shared" si="4"/>
        <v>5.6142666212881942E-2</v>
      </c>
      <c r="G20" s="8">
        <f t="shared" si="5"/>
        <v>0</v>
      </c>
      <c r="H20" s="8">
        <f t="shared" si="6"/>
        <v>0</v>
      </c>
      <c r="I20" s="8">
        <f t="shared" si="7"/>
        <v>174067114.26453328</v>
      </c>
      <c r="J20" s="8">
        <f t="shared" si="10"/>
        <v>9253098.2862721086</v>
      </c>
      <c r="K20" s="8">
        <f t="shared" si="8"/>
        <v>9253098.2853059005</v>
      </c>
      <c r="L20" s="8">
        <f t="shared" si="1"/>
        <v>164814015.97922739</v>
      </c>
      <c r="M20" s="211">
        <f t="shared" si="2"/>
        <v>3.0927390356043815E-2</v>
      </c>
      <c r="N20" s="163">
        <f t="shared" si="9"/>
        <v>2.6438119491167665E-2</v>
      </c>
    </row>
    <row r="21" spans="1:14" ht="12.75" customHeight="1">
      <c r="A21" s="7" t="s">
        <v>15</v>
      </c>
      <c r="B21" s="8">
        <v>19987748.887406509</v>
      </c>
      <c r="C21" s="8">
        <f t="shared" si="0"/>
        <v>20605917.799465109</v>
      </c>
      <c r="D21" s="8">
        <f>+'COEF DIST PART'!AR22+'COEF DIST GASOLINAS'!M22+'COEF DIST TEN'!AO22</f>
        <v>21784627.370639779</v>
      </c>
      <c r="E21" s="8">
        <f t="shared" si="3"/>
        <v>1178709.57117467</v>
      </c>
      <c r="F21" s="211">
        <f t="shared" si="4"/>
        <v>5.7202478562021007E-2</v>
      </c>
      <c r="G21" s="8">
        <f t="shared" si="5"/>
        <v>0</v>
      </c>
      <c r="H21" s="8">
        <f t="shared" si="6"/>
        <v>0</v>
      </c>
      <c r="I21" s="8">
        <f t="shared" si="7"/>
        <v>21784627.370639779</v>
      </c>
      <c r="J21" s="8">
        <f t="shared" si="10"/>
        <v>1178709.57117467</v>
      </c>
      <c r="K21" s="8">
        <f t="shared" si="8"/>
        <v>1178709.5710515892</v>
      </c>
      <c r="L21" s="8">
        <f t="shared" si="1"/>
        <v>20605917.799588189</v>
      </c>
      <c r="M21" s="211">
        <f t="shared" si="2"/>
        <v>3.0927390356157766E-2</v>
      </c>
      <c r="N21" s="163">
        <f t="shared" si="9"/>
        <v>3.3054331803877269E-3</v>
      </c>
    </row>
    <row r="22" spans="1:14" ht="12.75" customHeight="1">
      <c r="A22" s="7" t="s">
        <v>16</v>
      </c>
      <c r="B22" s="8">
        <v>14886280.164852329</v>
      </c>
      <c r="C22" s="8">
        <f t="shared" si="0"/>
        <v>15346673.96237018</v>
      </c>
      <c r="D22" s="8">
        <f>+'COEF DIST PART'!AR23+'COEF DIST GASOLINAS'!M23+'COEF DIST TEN'!AO23</f>
        <v>9490880.8321851641</v>
      </c>
      <c r="E22" s="8">
        <f t="shared" si="3"/>
        <v>-5855793.1301850155</v>
      </c>
      <c r="F22" s="211">
        <f t="shared" si="4"/>
        <v>-0.38156757252700713</v>
      </c>
      <c r="G22" s="8">
        <f t="shared" si="5"/>
        <v>15346673.96237018</v>
      </c>
      <c r="H22" s="8">
        <f t="shared" si="6"/>
        <v>5855793.1301850155</v>
      </c>
      <c r="I22" s="8">
        <f t="shared" si="7"/>
        <v>0</v>
      </c>
      <c r="J22" s="8">
        <f t="shared" si="10"/>
        <v>0</v>
      </c>
      <c r="K22" s="8">
        <f t="shared" si="8"/>
        <v>0</v>
      </c>
      <c r="L22" s="8">
        <f t="shared" si="1"/>
        <v>15346673.96237018</v>
      </c>
      <c r="M22" s="211">
        <f t="shared" si="2"/>
        <v>3.0927390350000045E-2</v>
      </c>
      <c r="N22" s="163">
        <f t="shared" si="9"/>
        <v>2.4617882016798385E-3</v>
      </c>
    </row>
    <row r="23" spans="1:14" ht="12.75" customHeight="1">
      <c r="A23" s="7" t="s">
        <v>17</v>
      </c>
      <c r="B23" s="8">
        <v>130825817.65347265</v>
      </c>
      <c r="C23" s="8">
        <f t="shared" si="0"/>
        <v>134871918.78389952</v>
      </c>
      <c r="D23" s="8">
        <f>+'COEF DIST PART'!AR24+'COEF DIST GASOLINAS'!M24+'COEF DIST TEN'!AO24</f>
        <v>137703591.58864492</v>
      </c>
      <c r="E23" s="8">
        <f t="shared" si="3"/>
        <v>2831672.8047454059</v>
      </c>
      <c r="F23" s="211">
        <f t="shared" si="4"/>
        <v>2.0995273369562532E-2</v>
      </c>
      <c r="G23" s="8">
        <f t="shared" si="5"/>
        <v>0</v>
      </c>
      <c r="H23" s="8">
        <f t="shared" si="6"/>
        <v>0</v>
      </c>
      <c r="I23" s="8">
        <f t="shared" si="7"/>
        <v>137703591.58864492</v>
      </c>
      <c r="J23" s="8">
        <f t="shared" si="10"/>
        <v>2831672.8047454059</v>
      </c>
      <c r="K23" s="8">
        <f t="shared" si="8"/>
        <v>2831672.8044497226</v>
      </c>
      <c r="L23" s="8">
        <f t="shared" si="1"/>
        <v>134871918.78419518</v>
      </c>
      <c r="M23" s="211">
        <f t="shared" si="2"/>
        <v>3.0927390352260012E-2</v>
      </c>
      <c r="N23" s="163">
        <f t="shared" si="9"/>
        <v>2.1635052599343431E-2</v>
      </c>
    </row>
    <row r="24" spans="1:14" ht="12.75" customHeight="1">
      <c r="A24" s="7" t="s">
        <v>18</v>
      </c>
      <c r="B24" s="8">
        <v>134019584.53700072</v>
      </c>
      <c r="C24" s="8">
        <f t="shared" si="0"/>
        <v>138164460.54252136</v>
      </c>
      <c r="D24" s="8">
        <f>+'COEF DIST PART'!AR25+'COEF DIST GASOLINAS'!M25+'COEF DIST TEN'!AO25</f>
        <v>143232377.9868944</v>
      </c>
      <c r="E24" s="8">
        <f t="shared" si="3"/>
        <v>5067917.4443730414</v>
      </c>
      <c r="F24" s="211">
        <f t="shared" si="4"/>
        <v>3.6680325928051115E-2</v>
      </c>
      <c r="G24" s="8">
        <f t="shared" si="5"/>
        <v>0</v>
      </c>
      <c r="H24" s="8">
        <f t="shared" si="6"/>
        <v>0</v>
      </c>
      <c r="I24" s="8">
        <f t="shared" si="7"/>
        <v>143232377.9868944</v>
      </c>
      <c r="J24" s="8">
        <f t="shared" si="10"/>
        <v>5067917.4443730414</v>
      </c>
      <c r="K24" s="8">
        <f t="shared" si="8"/>
        <v>5067917.443843849</v>
      </c>
      <c r="L24" s="8">
        <f t="shared" si="1"/>
        <v>138164460.54305056</v>
      </c>
      <c r="M24" s="211">
        <f t="shared" si="2"/>
        <v>3.0927390353948651E-2</v>
      </c>
      <c r="N24" s="163">
        <f t="shared" si="9"/>
        <v>2.2163215279762848E-2</v>
      </c>
    </row>
    <row r="25" spans="1:14" ht="12.75" customHeight="1">
      <c r="A25" s="7" t="s">
        <v>19</v>
      </c>
      <c r="B25" s="8">
        <v>25116578.898126554</v>
      </c>
      <c r="C25" s="8">
        <f t="shared" si="0"/>
        <v>25893369.137965485</v>
      </c>
      <c r="D25" s="8">
        <f>+'COEF DIST PART'!AR26+'COEF DIST GASOLINAS'!M26+'COEF DIST TEN'!AO26</f>
        <v>22634724.059138693</v>
      </c>
      <c r="E25" s="8">
        <f t="shared" si="3"/>
        <v>-3258645.0788267925</v>
      </c>
      <c r="F25" s="211">
        <f t="shared" si="4"/>
        <v>-0.12584863180469197</v>
      </c>
      <c r="G25" s="8">
        <f t="shared" si="5"/>
        <v>25893369.137965485</v>
      </c>
      <c r="H25" s="8">
        <f t="shared" si="6"/>
        <v>3258645.0788267925</v>
      </c>
      <c r="I25" s="8">
        <f t="shared" si="7"/>
        <v>0</v>
      </c>
      <c r="J25" s="8">
        <f t="shared" si="10"/>
        <v>0</v>
      </c>
      <c r="K25" s="8">
        <f t="shared" si="8"/>
        <v>0</v>
      </c>
      <c r="L25" s="8">
        <f t="shared" si="1"/>
        <v>25893369.137965485</v>
      </c>
      <c r="M25" s="211">
        <f t="shared" si="2"/>
        <v>3.0927390349999955E-2</v>
      </c>
      <c r="N25" s="163">
        <f t="shared" si="9"/>
        <v>4.1536029762464241E-3</v>
      </c>
    </row>
    <row r="26" spans="1:14" ht="12.75" customHeight="1">
      <c r="A26" s="7" t="s">
        <v>20</v>
      </c>
      <c r="B26" s="8">
        <v>342265402.37106651</v>
      </c>
      <c r="C26" s="8">
        <f t="shared" si="0"/>
        <v>352850778.07349628</v>
      </c>
      <c r="D26" s="8">
        <f>+'COEF DIST PART'!AR27+'COEF DIST GASOLINAS'!M27+'COEF DIST TEN'!AO27</f>
        <v>355394224.41935635</v>
      </c>
      <c r="E26" s="8">
        <f t="shared" si="3"/>
        <v>2543446.345860064</v>
      </c>
      <c r="F26" s="211">
        <f t="shared" si="4"/>
        <v>7.2082775606924759E-3</v>
      </c>
      <c r="G26" s="8">
        <f t="shared" si="5"/>
        <v>0</v>
      </c>
      <c r="H26" s="8">
        <f t="shared" si="6"/>
        <v>0</v>
      </c>
      <c r="I26" s="8">
        <f t="shared" si="7"/>
        <v>355394224.41935635</v>
      </c>
      <c r="J26" s="8">
        <f t="shared" si="10"/>
        <v>2543446.345860064</v>
      </c>
      <c r="K26" s="8">
        <f t="shared" si="8"/>
        <v>2543446.3455944774</v>
      </c>
      <c r="L26" s="8">
        <f t="shared" si="1"/>
        <v>352850778.07376188</v>
      </c>
      <c r="M26" s="211">
        <f t="shared" si="2"/>
        <v>3.0927390350775949E-2</v>
      </c>
      <c r="N26" s="163">
        <f t="shared" si="9"/>
        <v>5.6601442406702597E-2</v>
      </c>
    </row>
    <row r="27" spans="1:14" s="9" customFormat="1" ht="12.75" customHeight="1">
      <c r="A27" s="7" t="s">
        <v>21</v>
      </c>
      <c r="B27" s="8">
        <v>50726727.021119341</v>
      </c>
      <c r="C27" s="8">
        <f t="shared" si="0"/>
        <v>52295572.30887939</v>
      </c>
      <c r="D27" s="8">
        <f>+'COEF DIST PART'!AR28+'COEF DIST GASOLINAS'!M28+'COEF DIST TEN'!AO28</f>
        <v>49553380.697898224</v>
      </c>
      <c r="E27" s="8">
        <f t="shared" si="3"/>
        <v>-2742191.6109811664</v>
      </c>
      <c r="F27" s="211">
        <f t="shared" si="4"/>
        <v>-5.2436401207823918E-2</v>
      </c>
      <c r="G27" s="8">
        <f t="shared" si="5"/>
        <v>52295572.30887939</v>
      </c>
      <c r="H27" s="8">
        <f t="shared" si="6"/>
        <v>2742191.6109811664</v>
      </c>
      <c r="I27" s="8">
        <f t="shared" si="7"/>
        <v>0</v>
      </c>
      <c r="J27" s="8">
        <f t="shared" si="10"/>
        <v>0</v>
      </c>
      <c r="K27" s="8">
        <f t="shared" si="8"/>
        <v>0</v>
      </c>
      <c r="L27" s="8">
        <f t="shared" si="1"/>
        <v>52295572.30887939</v>
      </c>
      <c r="M27" s="211">
        <f t="shared" si="2"/>
        <v>3.0927390349999972E-2</v>
      </c>
      <c r="N27" s="163">
        <f t="shared" si="9"/>
        <v>8.3888289557570769E-3</v>
      </c>
    </row>
    <row r="28" spans="1:14" ht="12.75" customHeight="1">
      <c r="A28" s="7" t="s">
        <v>22</v>
      </c>
      <c r="B28" s="8">
        <v>8107290.2498756843</v>
      </c>
      <c r="C28" s="8">
        <f t="shared" si="0"/>
        <v>8358027.5801143385</v>
      </c>
      <c r="D28" s="8">
        <f>+'COEF DIST PART'!AR29+'COEF DIST GASOLINAS'!M29+'COEF DIST TEN'!AO29</f>
        <v>4577513.0585609768</v>
      </c>
      <c r="E28" s="8">
        <f t="shared" si="3"/>
        <v>-3780514.5215533618</v>
      </c>
      <c r="F28" s="211">
        <f t="shared" si="4"/>
        <v>-0.45232137430942099</v>
      </c>
      <c r="G28" s="8">
        <f t="shared" si="5"/>
        <v>8358027.5801143385</v>
      </c>
      <c r="H28" s="8">
        <f t="shared" si="6"/>
        <v>3780514.5215533618</v>
      </c>
      <c r="I28" s="8">
        <f t="shared" si="7"/>
        <v>0</v>
      </c>
      <c r="J28" s="8">
        <f t="shared" si="10"/>
        <v>0</v>
      </c>
      <c r="K28" s="8">
        <f t="shared" si="8"/>
        <v>0</v>
      </c>
      <c r="L28" s="8">
        <f t="shared" si="1"/>
        <v>8358027.5801143385</v>
      </c>
      <c r="M28" s="211">
        <f t="shared" si="2"/>
        <v>3.0927390349999993E-2</v>
      </c>
      <c r="N28" s="163">
        <f t="shared" si="9"/>
        <v>1.3407265793546842E-3</v>
      </c>
    </row>
    <row r="29" spans="1:14" ht="12.75" customHeight="1">
      <c r="A29" s="7" t="s">
        <v>23</v>
      </c>
      <c r="B29" s="8">
        <v>37224067.635398321</v>
      </c>
      <c r="C29" s="8">
        <f t="shared" si="0"/>
        <v>38375310.905573085</v>
      </c>
      <c r="D29" s="8">
        <f>+'COEF DIST PART'!AR30+'COEF DIST GASOLINAS'!M30+'COEF DIST TEN'!AO30</f>
        <v>38239857.88962438</v>
      </c>
      <c r="E29" s="8">
        <f t="shared" si="3"/>
        <v>-135453.01594870538</v>
      </c>
      <c r="F29" s="211">
        <f t="shared" si="4"/>
        <v>-3.5296916885443163E-3</v>
      </c>
      <c r="G29" s="8">
        <f t="shared" si="5"/>
        <v>38375310.905573085</v>
      </c>
      <c r="H29" s="8">
        <f t="shared" si="6"/>
        <v>135453.01594870538</v>
      </c>
      <c r="I29" s="8">
        <f t="shared" si="7"/>
        <v>0</v>
      </c>
      <c r="J29" s="8">
        <f t="shared" si="10"/>
        <v>0</v>
      </c>
      <c r="K29" s="8">
        <f t="shared" si="8"/>
        <v>0</v>
      </c>
      <c r="L29" s="8">
        <f t="shared" si="1"/>
        <v>38375310.905573085</v>
      </c>
      <c r="M29" s="211">
        <f t="shared" si="2"/>
        <v>3.0927390349999966E-2</v>
      </c>
      <c r="N29" s="163">
        <f t="shared" si="9"/>
        <v>6.155854216671257E-3</v>
      </c>
    </row>
    <row r="30" spans="1:14" ht="12.75" customHeight="1">
      <c r="A30" s="7" t="s">
        <v>24</v>
      </c>
      <c r="B30" s="8">
        <v>35853166.876126818</v>
      </c>
      <c r="C30" s="8">
        <f t="shared" si="0"/>
        <v>36962011.763388485</v>
      </c>
      <c r="D30" s="8">
        <f>+'COEF DIST PART'!AR31+'COEF DIST GASOLINAS'!M31+'COEF DIST TEN'!AO31</f>
        <v>38796539.978300966</v>
      </c>
      <c r="E30" s="8">
        <f t="shared" si="3"/>
        <v>1834528.2149124816</v>
      </c>
      <c r="F30" s="211">
        <f t="shared" si="4"/>
        <v>4.9632802095734778E-2</v>
      </c>
      <c r="G30" s="8">
        <f t="shared" si="5"/>
        <v>0</v>
      </c>
      <c r="H30" s="8">
        <f t="shared" si="6"/>
        <v>0</v>
      </c>
      <c r="I30" s="8">
        <f t="shared" si="7"/>
        <v>38796539.978300966</v>
      </c>
      <c r="J30" s="8">
        <f t="shared" si="10"/>
        <v>1834528.2149124816</v>
      </c>
      <c r="K30" s="8">
        <f t="shared" si="8"/>
        <v>1834528.2147209202</v>
      </c>
      <c r="L30" s="8">
        <f t="shared" si="1"/>
        <v>36962011.763580047</v>
      </c>
      <c r="M30" s="211">
        <f t="shared" si="2"/>
        <v>3.0927390355343014E-2</v>
      </c>
      <c r="N30" s="163">
        <f t="shared" si="9"/>
        <v>5.9291443014327008E-3</v>
      </c>
    </row>
    <row r="31" spans="1:14" ht="12.75" customHeight="1">
      <c r="A31" s="7" t="s">
        <v>25</v>
      </c>
      <c r="B31" s="8">
        <v>578626903.66248262</v>
      </c>
      <c r="C31" s="8">
        <f t="shared" si="0"/>
        <v>596522323.77906406</v>
      </c>
      <c r="D31" s="8">
        <f>+'COEF DIST PART'!AR32+'COEF DIST GASOLINAS'!M32+'COEF DIST TEN'!AO32</f>
        <v>590301431.3343482</v>
      </c>
      <c r="E31" s="8">
        <f t="shared" si="3"/>
        <v>-6220892.4447158575</v>
      </c>
      <c r="F31" s="211">
        <f t="shared" si="4"/>
        <v>-1.0428599562386051E-2</v>
      </c>
      <c r="G31" s="8">
        <f t="shared" si="5"/>
        <v>596522323.77906406</v>
      </c>
      <c r="H31" s="8">
        <f t="shared" si="6"/>
        <v>6220892.4447158575</v>
      </c>
      <c r="I31" s="8">
        <f t="shared" si="7"/>
        <v>0</v>
      </c>
      <c r="J31" s="8">
        <f t="shared" si="10"/>
        <v>0</v>
      </c>
      <c r="K31" s="8">
        <f t="shared" si="8"/>
        <v>0</v>
      </c>
      <c r="L31" s="8">
        <f t="shared" si="1"/>
        <v>596522323.77906406</v>
      </c>
      <c r="M31" s="211">
        <f t="shared" si="2"/>
        <v>3.0927390349999993E-2</v>
      </c>
      <c r="N31" s="163">
        <f t="shared" si="9"/>
        <v>9.5689243305664112E-2</v>
      </c>
    </row>
    <row r="32" spans="1:14" ht="12.75" customHeight="1">
      <c r="A32" s="7" t="s">
        <v>26</v>
      </c>
      <c r="B32" s="8">
        <v>15106275.911102165</v>
      </c>
      <c r="C32" s="8">
        <f t="shared" si="0"/>
        <v>15573473.602939622</v>
      </c>
      <c r="D32" s="8">
        <f>+'COEF DIST PART'!AR33+'COEF DIST GASOLINAS'!M33+'COEF DIST TEN'!AO33</f>
        <v>10542902.097387575</v>
      </c>
      <c r="E32" s="8">
        <f t="shared" si="3"/>
        <v>-5030571.5055520479</v>
      </c>
      <c r="F32" s="211">
        <f t="shared" si="4"/>
        <v>-0.32302180193136137</v>
      </c>
      <c r="G32" s="8">
        <f t="shared" si="5"/>
        <v>15573473.602939622</v>
      </c>
      <c r="H32" s="8">
        <f t="shared" si="6"/>
        <v>5030571.5055520479</v>
      </c>
      <c r="I32" s="8">
        <f t="shared" si="7"/>
        <v>0</v>
      </c>
      <c r="J32" s="8">
        <f t="shared" si="10"/>
        <v>0</v>
      </c>
      <c r="K32" s="8">
        <f t="shared" si="8"/>
        <v>0</v>
      </c>
      <c r="L32" s="8">
        <f t="shared" si="1"/>
        <v>15573473.602939622</v>
      </c>
      <c r="M32" s="211">
        <f t="shared" si="2"/>
        <v>3.0927390349999959E-2</v>
      </c>
      <c r="N32" s="163">
        <f t="shared" si="9"/>
        <v>2.4981695492388017E-3</v>
      </c>
    </row>
    <row r="33" spans="1:14" ht="12.75" customHeight="1">
      <c r="A33" s="7" t="s">
        <v>27</v>
      </c>
      <c r="B33" s="8">
        <v>26028289.802329965</v>
      </c>
      <c r="C33" s="8">
        <f t="shared" si="0"/>
        <v>26833276.881189547</v>
      </c>
      <c r="D33" s="8">
        <f>+'COEF DIST PART'!AR34+'COEF DIST GASOLINAS'!M34+'COEF DIST TEN'!AO34</f>
        <v>26213425.385874849</v>
      </c>
      <c r="E33" s="8">
        <f t="shared" si="3"/>
        <v>-619851.49531469867</v>
      </c>
      <c r="F33" s="211">
        <f t="shared" si="4"/>
        <v>-2.3100104324165569E-2</v>
      </c>
      <c r="G33" s="8">
        <f t="shared" si="5"/>
        <v>26833276.881189547</v>
      </c>
      <c r="H33" s="8">
        <f t="shared" si="6"/>
        <v>619851.49531469867</v>
      </c>
      <c r="I33" s="8">
        <f t="shared" si="7"/>
        <v>0</v>
      </c>
      <c r="J33" s="8">
        <f t="shared" si="10"/>
        <v>0</v>
      </c>
      <c r="K33" s="8">
        <f t="shared" si="8"/>
        <v>0</v>
      </c>
      <c r="L33" s="8">
        <f t="shared" si="1"/>
        <v>26833276.881189547</v>
      </c>
      <c r="M33" s="211">
        <f t="shared" si="2"/>
        <v>3.0927390349999976E-2</v>
      </c>
      <c r="N33" s="163">
        <f t="shared" si="9"/>
        <v>4.3043753063689025E-3</v>
      </c>
    </row>
    <row r="34" spans="1:14" ht="12.75" customHeight="1">
      <c r="A34" s="7" t="s">
        <v>28</v>
      </c>
      <c r="B34" s="8">
        <v>14041870.719162632</v>
      </c>
      <c r="C34" s="8">
        <f t="shared" si="0"/>
        <v>14476149.136138409</v>
      </c>
      <c r="D34" s="8">
        <f>+'COEF DIST PART'!AR35+'COEF DIST GASOLINAS'!M35+'COEF DIST TEN'!AO35</f>
        <v>15158730.680904513</v>
      </c>
      <c r="E34" s="8">
        <f t="shared" si="3"/>
        <v>682581.54476610385</v>
      </c>
      <c r="F34" s="211">
        <f t="shared" si="4"/>
        <v>4.7152149259232223E-2</v>
      </c>
      <c r="G34" s="8">
        <f t="shared" si="5"/>
        <v>0</v>
      </c>
      <c r="H34" s="8">
        <f t="shared" si="6"/>
        <v>0</v>
      </c>
      <c r="I34" s="8">
        <f t="shared" si="7"/>
        <v>15158730.680904513</v>
      </c>
      <c r="J34" s="8">
        <f t="shared" si="10"/>
        <v>682581.54476610385</v>
      </c>
      <c r="K34" s="8">
        <f t="shared" si="8"/>
        <v>682581.54469482868</v>
      </c>
      <c r="L34" s="8">
        <f t="shared" si="1"/>
        <v>14476149.136209685</v>
      </c>
      <c r="M34" s="211">
        <f t="shared" si="2"/>
        <v>3.0927390355075936E-2</v>
      </c>
      <c r="N34" s="163">
        <f t="shared" si="9"/>
        <v>2.3221457129186892E-3</v>
      </c>
    </row>
    <row r="35" spans="1:14" ht="12.75" customHeight="1">
      <c r="A35" s="7" t="s">
        <v>29</v>
      </c>
      <c r="B35" s="8">
        <v>20830259.368912105</v>
      </c>
      <c r="C35" s="8">
        <f t="shared" si="0"/>
        <v>21474484.931506194</v>
      </c>
      <c r="D35" s="8">
        <f>+'COEF DIST PART'!AR36+'COEF DIST GASOLINAS'!M36+'COEF DIST TEN'!AO36</f>
        <v>17197154.269881275</v>
      </c>
      <c r="E35" s="8">
        <f t="shared" si="3"/>
        <v>-4277330.6616249196</v>
      </c>
      <c r="F35" s="211">
        <f t="shared" si="4"/>
        <v>-0.19918199087278005</v>
      </c>
      <c r="G35" s="8">
        <f t="shared" si="5"/>
        <v>21474484.931506194</v>
      </c>
      <c r="H35" s="8">
        <f t="shared" si="6"/>
        <v>4277330.6616249196</v>
      </c>
      <c r="I35" s="8">
        <f t="shared" si="7"/>
        <v>0</v>
      </c>
      <c r="J35" s="8">
        <f t="shared" si="10"/>
        <v>0</v>
      </c>
      <c r="K35" s="8">
        <f t="shared" si="8"/>
        <v>0</v>
      </c>
      <c r="L35" s="8">
        <f t="shared" si="1"/>
        <v>21474484.931506194</v>
      </c>
      <c r="M35" s="211">
        <f t="shared" si="2"/>
        <v>3.0927390350000018E-2</v>
      </c>
      <c r="N35" s="163">
        <f t="shared" si="9"/>
        <v>3.4447616318141108E-3</v>
      </c>
    </row>
    <row r="36" spans="1:14" ht="12.75" customHeight="1">
      <c r="A36" s="7" t="s">
        <v>30</v>
      </c>
      <c r="B36" s="8">
        <v>19151212.988949068</v>
      </c>
      <c r="C36" s="8">
        <f t="shared" si="0"/>
        <v>19743510.028734285</v>
      </c>
      <c r="D36" s="8">
        <f>+'COEF DIST PART'!AR37+'COEF DIST GASOLINAS'!M37+'COEF DIST TEN'!AO37</f>
        <v>19889466.2714459</v>
      </c>
      <c r="E36" s="8">
        <f t="shared" si="3"/>
        <v>145956.24271161482</v>
      </c>
      <c r="F36" s="211">
        <f t="shared" si="4"/>
        <v>7.3926187643024565E-3</v>
      </c>
      <c r="G36" s="8">
        <f t="shared" si="5"/>
        <v>0</v>
      </c>
      <c r="H36" s="8">
        <f t="shared" si="6"/>
        <v>0</v>
      </c>
      <c r="I36" s="8">
        <f t="shared" si="7"/>
        <v>19889466.2714459</v>
      </c>
      <c r="J36" s="8">
        <f t="shared" si="10"/>
        <v>145956.24271161482</v>
      </c>
      <c r="K36" s="8">
        <f t="shared" si="8"/>
        <v>145956.24269637407</v>
      </c>
      <c r="L36" s="8">
        <f t="shared" si="1"/>
        <v>19743510.028749526</v>
      </c>
      <c r="M36" s="211">
        <f t="shared" si="2"/>
        <v>3.0927390350795753E-2</v>
      </c>
      <c r="N36" s="163">
        <f t="shared" si="9"/>
        <v>3.1670927634026946E-3</v>
      </c>
    </row>
    <row r="37" spans="1:14" ht="12.75" customHeight="1">
      <c r="A37" s="7" t="s">
        <v>31</v>
      </c>
      <c r="B37" s="8">
        <v>182400387.90974286</v>
      </c>
      <c r="C37" s="8">
        <f t="shared" si="0"/>
        <v>188041555.90661889</v>
      </c>
      <c r="D37" s="8">
        <f>+'COEF DIST PART'!AR38+'COEF DIST GASOLINAS'!M38+'COEF DIST TEN'!AO38</f>
        <v>194452220.67722359</v>
      </c>
      <c r="E37" s="8">
        <f t="shared" si="3"/>
        <v>6410664.7706046999</v>
      </c>
      <c r="F37" s="211">
        <f t="shared" si="4"/>
        <v>3.4091744985285194E-2</v>
      </c>
      <c r="G37" s="8">
        <f t="shared" si="5"/>
        <v>0</v>
      </c>
      <c r="H37" s="8">
        <f t="shared" si="6"/>
        <v>0</v>
      </c>
      <c r="I37" s="8">
        <f t="shared" si="7"/>
        <v>194452220.67722359</v>
      </c>
      <c r="J37" s="8">
        <f t="shared" si="10"/>
        <v>6410664.7706046999</v>
      </c>
      <c r="K37" s="8">
        <f t="shared" si="8"/>
        <v>6410664.7699352978</v>
      </c>
      <c r="L37" s="8">
        <f t="shared" si="1"/>
        <v>188041555.90728828</v>
      </c>
      <c r="M37" s="211">
        <f t="shared" si="2"/>
        <v>3.0927390353669856E-2</v>
      </c>
      <c r="N37" s="163">
        <f t="shared" si="9"/>
        <v>3.0164091899857349E-2</v>
      </c>
    </row>
    <row r="38" spans="1:14" ht="12.75" customHeight="1">
      <c r="A38" s="7" t="s">
        <v>32</v>
      </c>
      <c r="B38" s="8">
        <v>35517602.218406938</v>
      </c>
      <c r="C38" s="8">
        <f t="shared" si="0"/>
        <v>36616068.966511637</v>
      </c>
      <c r="D38" s="8">
        <f>+'COEF DIST PART'!AR39+'COEF DIST GASOLINAS'!M39+'COEF DIST TEN'!AO39</f>
        <v>36848230.030393265</v>
      </c>
      <c r="E38" s="8">
        <f t="shared" si="3"/>
        <v>232161.06388162822</v>
      </c>
      <c r="F38" s="211">
        <f t="shared" si="4"/>
        <v>6.3404147532592405E-3</v>
      </c>
      <c r="G38" s="8">
        <f t="shared" si="5"/>
        <v>0</v>
      </c>
      <c r="H38" s="8">
        <f t="shared" si="6"/>
        <v>0</v>
      </c>
      <c r="I38" s="8">
        <f t="shared" si="7"/>
        <v>36848230.030393265</v>
      </c>
      <c r="J38" s="8">
        <f t="shared" si="10"/>
        <v>232161.06388162822</v>
      </c>
      <c r="K38" s="8">
        <f t="shared" si="8"/>
        <v>232161.06385738595</v>
      </c>
      <c r="L38" s="8">
        <f t="shared" si="1"/>
        <v>36616068.966535881</v>
      </c>
      <c r="M38" s="211">
        <f t="shared" si="2"/>
        <v>3.0927390350682642E-2</v>
      </c>
      <c r="N38" s="163">
        <f t="shared" si="9"/>
        <v>5.8736509809707129E-3</v>
      </c>
    </row>
    <row r="39" spans="1:14" s="9" customFormat="1" ht="12.75" customHeight="1">
      <c r="A39" s="7" t="s">
        <v>33</v>
      </c>
      <c r="B39" s="8">
        <v>130315043.26600544</v>
      </c>
      <c r="C39" s="8">
        <f t="shared" si="0"/>
        <v>134345347.47757033</v>
      </c>
      <c r="D39" s="8">
        <f>+'COEF DIST PART'!AR40+'COEF DIST GASOLINAS'!M40+'COEF DIST TEN'!AO40</f>
        <v>133654864.25399853</v>
      </c>
      <c r="E39" s="8">
        <f t="shared" si="3"/>
        <v>-690483.22357179224</v>
      </c>
      <c r="F39" s="211">
        <f t="shared" si="4"/>
        <v>-5.1396139616005096E-3</v>
      </c>
      <c r="G39" s="8">
        <f t="shared" si="5"/>
        <v>134345347.47757033</v>
      </c>
      <c r="H39" s="8">
        <f t="shared" si="6"/>
        <v>690483.22357179224</v>
      </c>
      <c r="I39" s="8">
        <f t="shared" si="7"/>
        <v>0</v>
      </c>
      <c r="J39" s="8">
        <f t="shared" si="10"/>
        <v>0</v>
      </c>
      <c r="K39" s="8">
        <f t="shared" si="8"/>
        <v>0</v>
      </c>
      <c r="L39" s="8">
        <f t="shared" ref="L39:L57" si="11">IF(H39&lt;&gt;0,D39+H39,D39-K39)</f>
        <v>134345347.47757033</v>
      </c>
      <c r="M39" s="211">
        <f t="shared" ref="M39:M58" si="12">+(L39-B39)/B39</f>
        <v>3.0927390349999959E-2</v>
      </c>
      <c r="N39" s="163">
        <f t="shared" si="9"/>
        <v>2.1550584327379697E-2</v>
      </c>
    </row>
    <row r="40" spans="1:14" ht="12.75" customHeight="1">
      <c r="A40" s="7" t="s">
        <v>34</v>
      </c>
      <c r="B40" s="8">
        <v>25941130.726698693</v>
      </c>
      <c r="C40" s="8">
        <f t="shared" si="0"/>
        <v>26743422.202803683</v>
      </c>
      <c r="D40" s="8">
        <f>+'COEF DIST PART'!AR41+'COEF DIST GASOLINAS'!M41+'COEF DIST TEN'!AO41</f>
        <v>27577156.231963564</v>
      </c>
      <c r="E40" s="8">
        <f t="shared" si="3"/>
        <v>833734.02915988117</v>
      </c>
      <c r="F40" s="211">
        <f t="shared" si="4"/>
        <v>3.1175293230515412E-2</v>
      </c>
      <c r="G40" s="8">
        <f t="shared" si="5"/>
        <v>0</v>
      </c>
      <c r="H40" s="8">
        <f t="shared" si="6"/>
        <v>0</v>
      </c>
      <c r="I40" s="8">
        <f t="shared" si="7"/>
        <v>27577156.231963564</v>
      </c>
      <c r="J40" s="8">
        <f t="shared" si="10"/>
        <v>833734.02915988117</v>
      </c>
      <c r="K40" s="8">
        <f t="shared" si="8"/>
        <v>833734.02907282265</v>
      </c>
      <c r="L40" s="8">
        <f t="shared" si="11"/>
        <v>26743422.202890743</v>
      </c>
      <c r="M40" s="211">
        <f t="shared" si="12"/>
        <v>3.0927390353356062E-2</v>
      </c>
      <c r="N40" s="163">
        <f t="shared" si="9"/>
        <v>4.2899615521284646E-3</v>
      </c>
    </row>
    <row r="41" spans="1:14" ht="12.75" customHeight="1">
      <c r="A41" s="7" t="s">
        <v>35</v>
      </c>
      <c r="B41" s="8">
        <v>22731637.861915868</v>
      </c>
      <c r="C41" s="8">
        <f t="shared" si="0"/>
        <v>23434668.099366181</v>
      </c>
      <c r="D41" s="8">
        <f>+'COEF DIST PART'!AR42+'COEF DIST GASOLINAS'!M42+'COEF DIST TEN'!AO42</f>
        <v>25756548.350283068</v>
      </c>
      <c r="E41" s="8">
        <f t="shared" si="3"/>
        <v>2321880.2509168871</v>
      </c>
      <c r="F41" s="211">
        <f t="shared" si="4"/>
        <v>9.9078862182805358E-2</v>
      </c>
      <c r="G41" s="8">
        <f t="shared" si="5"/>
        <v>0</v>
      </c>
      <c r="H41" s="8">
        <f t="shared" si="6"/>
        <v>0</v>
      </c>
      <c r="I41" s="8">
        <f t="shared" si="7"/>
        <v>25756548.350283068</v>
      </c>
      <c r="J41" s="8">
        <f t="shared" si="10"/>
        <v>2321880.2509168871</v>
      </c>
      <c r="K41" s="8">
        <f t="shared" si="8"/>
        <v>2321880.2506744363</v>
      </c>
      <c r="L41" s="8">
        <f t="shared" si="11"/>
        <v>23434668.09960863</v>
      </c>
      <c r="M41" s="211">
        <f t="shared" si="12"/>
        <v>3.0927390360665784E-2</v>
      </c>
      <c r="N41" s="163">
        <f t="shared" si="9"/>
        <v>3.7591982197157092E-3</v>
      </c>
    </row>
    <row r="42" spans="1:14" ht="12.75" customHeight="1">
      <c r="A42" s="7" t="s">
        <v>36</v>
      </c>
      <c r="B42" s="8">
        <v>28034696.430907037</v>
      </c>
      <c r="C42" s="8">
        <f t="shared" si="0"/>
        <v>28901736.430769451</v>
      </c>
      <c r="D42" s="8">
        <f>+'COEF DIST PART'!AR43+'COEF DIST GASOLINAS'!M43+'COEF DIST TEN'!AO43</f>
        <v>28920637.604436181</v>
      </c>
      <c r="E42" s="8">
        <f t="shared" si="3"/>
        <v>18901.173666730523</v>
      </c>
      <c r="F42" s="211">
        <f t="shared" si="4"/>
        <v>6.53980556220418E-4</v>
      </c>
      <c r="G42" s="8">
        <f t="shared" si="5"/>
        <v>0</v>
      </c>
      <c r="H42" s="8">
        <f t="shared" si="6"/>
        <v>0</v>
      </c>
      <c r="I42" s="8">
        <f t="shared" si="7"/>
        <v>28920637.604436181</v>
      </c>
      <c r="J42" s="8">
        <f t="shared" si="10"/>
        <v>18901.173666730523</v>
      </c>
      <c r="K42" s="8">
        <f t="shared" si="8"/>
        <v>18901.173664756861</v>
      </c>
      <c r="L42" s="8">
        <f t="shared" si="11"/>
        <v>28901736.430771425</v>
      </c>
      <c r="M42" s="211">
        <f t="shared" si="12"/>
        <v>3.092739035007043E-2</v>
      </c>
      <c r="N42" s="163">
        <f t="shared" si="9"/>
        <v>4.6361807078062721E-3</v>
      </c>
    </row>
    <row r="43" spans="1:14" ht="12.75" customHeight="1">
      <c r="A43" s="7" t="s">
        <v>37</v>
      </c>
      <c r="B43" s="8">
        <v>39502341.51405035</v>
      </c>
      <c r="C43" s="8">
        <f t="shared" si="0"/>
        <v>40724045.849794395</v>
      </c>
      <c r="D43" s="8">
        <f>+'COEF DIST PART'!AR44+'COEF DIST GASOLINAS'!M44+'COEF DIST TEN'!AO44</f>
        <v>40815350.42793154</v>
      </c>
      <c r="E43" s="8">
        <f t="shared" si="3"/>
        <v>91304.578137144446</v>
      </c>
      <c r="F43" s="211">
        <f t="shared" si="4"/>
        <v>2.2420311202356979E-3</v>
      </c>
      <c r="G43" s="8">
        <f t="shared" si="5"/>
        <v>0</v>
      </c>
      <c r="H43" s="8">
        <f t="shared" si="6"/>
        <v>0</v>
      </c>
      <c r="I43" s="8">
        <f t="shared" si="7"/>
        <v>40815350.42793154</v>
      </c>
      <c r="J43" s="8">
        <f t="shared" si="10"/>
        <v>91304.578137144446</v>
      </c>
      <c r="K43" s="8">
        <f t="shared" si="8"/>
        <v>91304.578127610424</v>
      </c>
      <c r="L43" s="8">
        <f t="shared" si="11"/>
        <v>40724045.849803932</v>
      </c>
      <c r="M43" s="211">
        <f t="shared" si="12"/>
        <v>3.0927390350241436E-2</v>
      </c>
      <c r="N43" s="163">
        <f t="shared" si="9"/>
        <v>6.5326191097522107E-3</v>
      </c>
    </row>
    <row r="44" spans="1:14" s="9" customFormat="1" ht="12.75" customHeight="1">
      <c r="A44" s="7" t="s">
        <v>38</v>
      </c>
      <c r="B44" s="8">
        <v>92723113.766476914</v>
      </c>
      <c r="C44" s="8">
        <f t="shared" si="0"/>
        <v>95590797.700400203</v>
      </c>
      <c r="D44" s="8">
        <f>+'COEF DIST PART'!AR45+'COEF DIST GASOLINAS'!M45+'COEF DIST TEN'!AO45</f>
        <v>93800780.601103038</v>
      </c>
      <c r="E44" s="8">
        <f t="shared" si="3"/>
        <v>-1790017.0992971659</v>
      </c>
      <c r="F44" s="211">
        <f t="shared" si="4"/>
        <v>-1.8725830753159117E-2</v>
      </c>
      <c r="G44" s="8">
        <f t="shared" si="5"/>
        <v>95590797.700400203</v>
      </c>
      <c r="H44" s="8">
        <f t="shared" si="6"/>
        <v>1790017.0992971659</v>
      </c>
      <c r="I44" s="8">
        <f t="shared" si="7"/>
        <v>0</v>
      </c>
      <c r="J44" s="8">
        <f t="shared" si="10"/>
        <v>0</v>
      </c>
      <c r="K44" s="8">
        <f t="shared" si="8"/>
        <v>0</v>
      </c>
      <c r="L44" s="8">
        <f t="shared" si="11"/>
        <v>95590797.700400203</v>
      </c>
      <c r="M44" s="211">
        <f t="shared" si="12"/>
        <v>3.092739034999999E-2</v>
      </c>
      <c r="N44" s="163">
        <f t="shared" si="9"/>
        <v>1.533389570567676E-2</v>
      </c>
    </row>
    <row r="45" spans="1:14" ht="12.75" customHeight="1">
      <c r="A45" s="7" t="s">
        <v>39</v>
      </c>
      <c r="B45" s="8">
        <v>1375532159.6900911</v>
      </c>
      <c r="C45" s="8">
        <f t="shared" si="0"/>
        <v>1418073779.7318051</v>
      </c>
      <c r="D45" s="8">
        <f>+'COEF DIST PART'!AR46+'COEF DIST GASOLINAS'!M46+'COEF DIST TEN'!AO46</f>
        <v>1489785022.2509189</v>
      </c>
      <c r="E45" s="8">
        <f t="shared" si="3"/>
        <v>71711242.519113779</v>
      </c>
      <c r="F45" s="211">
        <f t="shared" si="4"/>
        <v>5.0569472155867837E-2</v>
      </c>
      <c r="G45" s="8">
        <f t="shared" si="5"/>
        <v>0</v>
      </c>
      <c r="H45" s="8">
        <f t="shared" si="6"/>
        <v>0</v>
      </c>
      <c r="I45" s="8">
        <f t="shared" si="7"/>
        <v>1489785022.2509189</v>
      </c>
      <c r="J45" s="8">
        <f t="shared" si="10"/>
        <v>71711242.519113779</v>
      </c>
      <c r="K45" s="8">
        <f t="shared" si="8"/>
        <v>71711242.511625692</v>
      </c>
      <c r="L45" s="8">
        <f t="shared" si="11"/>
        <v>1418073779.7392931</v>
      </c>
      <c r="M45" s="211">
        <f t="shared" si="12"/>
        <v>3.0927390355443698E-2</v>
      </c>
      <c r="N45" s="163">
        <f t="shared" si="9"/>
        <v>0.22747582366274283</v>
      </c>
    </row>
    <row r="46" spans="1:14" ht="12.75" customHeight="1">
      <c r="A46" s="7" t="s">
        <v>40</v>
      </c>
      <c r="B46" s="8">
        <v>9879315.2667210829</v>
      </c>
      <c r="C46" s="8">
        <f t="shared" si="0"/>
        <v>10184856.70636568</v>
      </c>
      <c r="D46" s="8">
        <f>+'COEF DIST PART'!AR47+'COEF DIST GASOLINAS'!M47+'COEF DIST TEN'!AO47</f>
        <v>9154327.6972215846</v>
      </c>
      <c r="E46" s="8">
        <f t="shared" si="3"/>
        <v>-1030529.0091440957</v>
      </c>
      <c r="F46" s="211">
        <f t="shared" si="4"/>
        <v>-0.10118247500723308</v>
      </c>
      <c r="G46" s="8">
        <f t="shared" si="5"/>
        <v>10184856.70636568</v>
      </c>
      <c r="H46" s="8">
        <f t="shared" si="6"/>
        <v>1030529.0091440957</v>
      </c>
      <c r="I46" s="8">
        <f t="shared" si="7"/>
        <v>0</v>
      </c>
      <c r="J46" s="8">
        <f t="shared" si="10"/>
        <v>0</v>
      </c>
      <c r="K46" s="8">
        <f t="shared" si="8"/>
        <v>0</v>
      </c>
      <c r="L46" s="8">
        <f t="shared" si="11"/>
        <v>10184856.70636568</v>
      </c>
      <c r="M46" s="211">
        <f t="shared" si="12"/>
        <v>3.0927390350000018E-2</v>
      </c>
      <c r="N46" s="163">
        <f t="shared" si="9"/>
        <v>1.6337716000880283E-3</v>
      </c>
    </row>
    <row r="47" spans="1:14" s="9" customFormat="1" ht="12.75" customHeight="1">
      <c r="A47" s="7" t="s">
        <v>41</v>
      </c>
      <c r="B47" s="8">
        <v>26183469.770358004</v>
      </c>
      <c r="C47" s="8">
        <f t="shared" si="0"/>
        <v>26993256.160663292</v>
      </c>
      <c r="D47" s="8">
        <f>+'COEF DIST PART'!AR48+'COEF DIST GASOLINAS'!M48+'COEF DIST TEN'!AO48</f>
        <v>26758708.543677002</v>
      </c>
      <c r="E47" s="8">
        <f t="shared" si="3"/>
        <v>-234547.61698628962</v>
      </c>
      <c r="F47" s="211">
        <f t="shared" si="4"/>
        <v>-8.6891190744187042E-3</v>
      </c>
      <c r="G47" s="8">
        <f t="shared" si="5"/>
        <v>26993256.160663292</v>
      </c>
      <c r="H47" s="8">
        <f t="shared" si="6"/>
        <v>234547.61698628962</v>
      </c>
      <c r="I47" s="8">
        <f t="shared" si="7"/>
        <v>0</v>
      </c>
      <c r="J47" s="8">
        <f t="shared" si="10"/>
        <v>0</v>
      </c>
      <c r="K47" s="8">
        <f t="shared" si="8"/>
        <v>0</v>
      </c>
      <c r="L47" s="8">
        <f t="shared" si="11"/>
        <v>26993256.160663292</v>
      </c>
      <c r="M47" s="211">
        <f t="shared" si="12"/>
        <v>3.0927390350000049E-2</v>
      </c>
      <c r="N47" s="163">
        <f t="shared" si="9"/>
        <v>4.3300378768833594E-3</v>
      </c>
    </row>
    <row r="48" spans="1:14" ht="12.75" customHeight="1">
      <c r="A48" s="7" t="s">
        <v>42</v>
      </c>
      <c r="B48" s="8">
        <v>20992844.334831275</v>
      </c>
      <c r="C48" s="8">
        <f t="shared" si="0"/>
        <v>21642098.226131387</v>
      </c>
      <c r="D48" s="8">
        <f>+'COEF DIST PART'!AR49+'COEF DIST GASOLINAS'!M49+'COEF DIST TEN'!AO49</f>
        <v>16560150.135063766</v>
      </c>
      <c r="E48" s="8">
        <f t="shared" si="3"/>
        <v>-5081948.0910676215</v>
      </c>
      <c r="F48" s="211">
        <f t="shared" si="4"/>
        <v>-0.2348177167466835</v>
      </c>
      <c r="G48" s="8">
        <f t="shared" si="5"/>
        <v>21642098.226131387</v>
      </c>
      <c r="H48" s="8">
        <f t="shared" si="6"/>
        <v>5081948.0910676215</v>
      </c>
      <c r="I48" s="8">
        <f t="shared" si="7"/>
        <v>0</v>
      </c>
      <c r="J48" s="8">
        <f t="shared" si="10"/>
        <v>0</v>
      </c>
      <c r="K48" s="8">
        <f t="shared" si="8"/>
        <v>0</v>
      </c>
      <c r="L48" s="8">
        <f t="shared" si="11"/>
        <v>21642098.226131387</v>
      </c>
      <c r="M48" s="211">
        <f t="shared" si="12"/>
        <v>3.0927390349999955E-2</v>
      </c>
      <c r="N48" s="163">
        <f t="shared" si="9"/>
        <v>3.4716487887423639E-3</v>
      </c>
    </row>
    <row r="49" spans="1:14" ht="12.75" customHeight="1">
      <c r="A49" s="7" t="s">
        <v>43</v>
      </c>
      <c r="B49" s="8">
        <v>22710170.655644231</v>
      </c>
      <c r="C49" s="8">
        <f t="shared" si="0"/>
        <v>23412536.968426455</v>
      </c>
      <c r="D49" s="8">
        <f>+'COEF DIST PART'!AR50+'COEF DIST GASOLINAS'!M50+'COEF DIST TEN'!AO50</f>
        <v>22990233.499613918</v>
      </c>
      <c r="E49" s="8">
        <f t="shared" si="3"/>
        <v>-422303.46881253645</v>
      </c>
      <c r="F49" s="211">
        <f t="shared" si="4"/>
        <v>-1.8037492877514473E-2</v>
      </c>
      <c r="G49" s="8">
        <f t="shared" si="5"/>
        <v>23412536.968426455</v>
      </c>
      <c r="H49" s="8">
        <f t="shared" si="6"/>
        <v>422303.46881253645</v>
      </c>
      <c r="I49" s="8">
        <f t="shared" si="7"/>
        <v>0</v>
      </c>
      <c r="J49" s="8">
        <f t="shared" si="10"/>
        <v>0</v>
      </c>
      <c r="K49" s="8">
        <f t="shared" si="8"/>
        <v>0</v>
      </c>
      <c r="L49" s="8">
        <f t="shared" si="11"/>
        <v>23412536.968426455</v>
      </c>
      <c r="M49" s="211">
        <f t="shared" si="12"/>
        <v>3.0927390349999986E-2</v>
      </c>
      <c r="N49" s="163">
        <f t="shared" si="9"/>
        <v>3.7556481242508742E-3</v>
      </c>
    </row>
    <row r="50" spans="1:14" ht="12.75" customHeight="1">
      <c r="A50" s="7" t="s">
        <v>44</v>
      </c>
      <c r="B50" s="8">
        <v>67759969.573540688</v>
      </c>
      <c r="C50" s="8">
        <f t="shared" si="0"/>
        <v>69855608.60264571</v>
      </c>
      <c r="D50" s="8">
        <f>+'COEF DIST PART'!AR51+'COEF DIST GASOLINAS'!M51+'COEF DIST TEN'!AO51</f>
        <v>47286344.620771304</v>
      </c>
      <c r="E50" s="8">
        <f t="shared" si="3"/>
        <v>-22569263.981874406</v>
      </c>
      <c r="F50" s="211">
        <f t="shared" si="4"/>
        <v>-0.32308449433535702</v>
      </c>
      <c r="G50" s="8">
        <f t="shared" si="5"/>
        <v>69855608.60264571</v>
      </c>
      <c r="H50" s="8">
        <f t="shared" si="6"/>
        <v>22569263.981874406</v>
      </c>
      <c r="I50" s="8">
        <f t="shared" si="7"/>
        <v>0</v>
      </c>
      <c r="J50" s="8">
        <f t="shared" si="10"/>
        <v>0</v>
      </c>
      <c r="K50" s="8">
        <f t="shared" si="8"/>
        <v>0</v>
      </c>
      <c r="L50" s="8">
        <f t="shared" si="11"/>
        <v>69855608.60264571</v>
      </c>
      <c r="M50" s="211">
        <f t="shared" si="12"/>
        <v>3.0927390350000097E-2</v>
      </c>
      <c r="N50" s="163">
        <f t="shared" si="9"/>
        <v>1.1205666680664817E-2</v>
      </c>
    </row>
    <row r="51" spans="1:14" ht="12.75" customHeight="1">
      <c r="A51" s="7" t="s">
        <v>45</v>
      </c>
      <c r="B51" s="8">
        <v>58306140.130971506</v>
      </c>
      <c r="C51" s="8">
        <f t="shared" si="0"/>
        <v>60109396.886603862</v>
      </c>
      <c r="D51" s="8">
        <f>+'COEF DIST PART'!AR52+'COEF DIST GASOLINAS'!M52+'COEF DIST TEN'!AO52</f>
        <v>58016794.345477052</v>
      </c>
      <c r="E51" s="8">
        <f t="shared" si="3"/>
        <v>-2092602.54112681</v>
      </c>
      <c r="F51" s="211">
        <f t="shared" si="4"/>
        <v>-3.4813234693977985E-2</v>
      </c>
      <c r="G51" s="8">
        <f t="shared" si="5"/>
        <v>60109396.886603862</v>
      </c>
      <c r="H51" s="8">
        <f t="shared" si="6"/>
        <v>2092602.54112681</v>
      </c>
      <c r="I51" s="8">
        <f t="shared" si="7"/>
        <v>0</v>
      </c>
      <c r="J51" s="8">
        <f t="shared" si="10"/>
        <v>0</v>
      </c>
      <c r="K51" s="8">
        <f t="shared" si="8"/>
        <v>0</v>
      </c>
      <c r="L51" s="8">
        <f t="shared" si="11"/>
        <v>60109396.886603862</v>
      </c>
      <c r="M51" s="211">
        <f t="shared" si="12"/>
        <v>3.0927390349999997E-2</v>
      </c>
      <c r="N51" s="163">
        <f t="shared" si="9"/>
        <v>9.6422589303955166E-3</v>
      </c>
    </row>
    <row r="52" spans="1:14" ht="12.75" customHeight="1">
      <c r="A52" s="7" t="s">
        <v>46</v>
      </c>
      <c r="B52" s="8">
        <v>485331856.19659519</v>
      </c>
      <c r="C52" s="8">
        <f t="shared" si="0"/>
        <v>500341903.96247739</v>
      </c>
      <c r="D52" s="8">
        <f>+'COEF DIST PART'!AR53+'COEF DIST GASOLINAS'!M53+'COEF DIST TEN'!AO53</f>
        <v>513992498.77068269</v>
      </c>
      <c r="E52" s="8">
        <f t="shared" si="3"/>
        <v>13650594.808205307</v>
      </c>
      <c r="F52" s="211">
        <f t="shared" si="4"/>
        <v>2.7282533603719544E-2</v>
      </c>
      <c r="G52" s="8">
        <f t="shared" si="5"/>
        <v>0</v>
      </c>
      <c r="H52" s="8">
        <f t="shared" si="6"/>
        <v>0</v>
      </c>
      <c r="I52" s="8">
        <f t="shared" si="7"/>
        <v>513992498.77068269</v>
      </c>
      <c r="J52" s="8">
        <f t="shared" si="10"/>
        <v>13650594.808205307</v>
      </c>
      <c r="K52" s="8">
        <f t="shared" si="8"/>
        <v>13650594.806779912</v>
      </c>
      <c r="L52" s="8">
        <f t="shared" si="11"/>
        <v>500341903.96390277</v>
      </c>
      <c r="M52" s="211">
        <f t="shared" si="12"/>
        <v>3.0927390352936988E-2</v>
      </c>
      <c r="N52" s="163">
        <f t="shared" si="9"/>
        <v>8.0260765231903716E-2</v>
      </c>
    </row>
    <row r="53" spans="1:14" ht="12.75" customHeight="1">
      <c r="A53" s="7" t="s">
        <v>47</v>
      </c>
      <c r="B53" s="8">
        <v>511530399.39661837</v>
      </c>
      <c r="C53" s="8">
        <f t="shared" si="0"/>
        <v>527350699.734649</v>
      </c>
      <c r="D53" s="8">
        <f>+'COEF DIST PART'!AR54+'COEF DIST GASOLINAS'!M54+'COEF DIST TEN'!AO54</f>
        <v>562412781.02453029</v>
      </c>
      <c r="E53" s="8">
        <f t="shared" si="3"/>
        <v>35062081.289881289</v>
      </c>
      <c r="F53" s="211">
        <f t="shared" si="4"/>
        <v>6.6487218671604564E-2</v>
      </c>
      <c r="G53" s="8">
        <f t="shared" si="5"/>
        <v>0</v>
      </c>
      <c r="H53" s="8">
        <f t="shared" si="6"/>
        <v>0</v>
      </c>
      <c r="I53" s="8">
        <f t="shared" si="7"/>
        <v>562412781.02453029</v>
      </c>
      <c r="J53" s="8">
        <f t="shared" si="10"/>
        <v>35062081.289881289</v>
      </c>
      <c r="K53" s="8">
        <f t="shared" si="8"/>
        <v>35062081.286220104</v>
      </c>
      <c r="L53" s="8">
        <f t="shared" si="11"/>
        <v>527350699.73831022</v>
      </c>
      <c r="M53" s="211">
        <f t="shared" si="12"/>
        <v>3.0927390357157407E-2</v>
      </c>
      <c r="N53" s="163">
        <f t="shared" si="9"/>
        <v>8.459329584681409E-2</v>
      </c>
    </row>
    <row r="54" spans="1:14" s="9" customFormat="1" ht="12.75" customHeight="1">
      <c r="A54" s="7" t="s">
        <v>48</v>
      </c>
      <c r="B54" s="8">
        <v>264368587.66966063</v>
      </c>
      <c r="C54" s="8">
        <f t="shared" si="0"/>
        <v>272544818.1767984</v>
      </c>
      <c r="D54" s="8">
        <f>+'COEF DIST PART'!AR55+'COEF DIST GASOLINAS'!M55+'COEF DIST TEN'!AO55</f>
        <v>259767173.75971088</v>
      </c>
      <c r="E54" s="8">
        <f t="shared" si="3"/>
        <v>-12777644.417087525</v>
      </c>
      <c r="F54" s="211">
        <f t="shared" si="4"/>
        <v>-4.6882727408153232E-2</v>
      </c>
      <c r="G54" s="8">
        <f t="shared" si="5"/>
        <v>272544818.1767984</v>
      </c>
      <c r="H54" s="8">
        <f t="shared" si="6"/>
        <v>12777644.417087525</v>
      </c>
      <c r="I54" s="8">
        <f t="shared" si="7"/>
        <v>0</v>
      </c>
      <c r="J54" s="8">
        <f t="shared" si="10"/>
        <v>0</v>
      </c>
      <c r="K54" s="8">
        <f t="shared" si="8"/>
        <v>0</v>
      </c>
      <c r="L54" s="8">
        <f t="shared" si="11"/>
        <v>272544818.1767984</v>
      </c>
      <c r="M54" s="211">
        <f t="shared" si="12"/>
        <v>3.0927390349999941E-2</v>
      </c>
      <c r="N54" s="163">
        <f t="shared" si="9"/>
        <v>4.3719415650698833E-2</v>
      </c>
    </row>
    <row r="55" spans="1:14" s="9" customFormat="1" ht="12.75" customHeight="1">
      <c r="A55" s="7" t="s">
        <v>49</v>
      </c>
      <c r="B55" s="8">
        <v>61316294.37673489</v>
      </c>
      <c r="C55" s="8">
        <f t="shared" si="0"/>
        <v>63212647.347739682</v>
      </c>
      <c r="D55" s="8">
        <f>+'COEF DIST PART'!AR56+'COEF DIST GASOLINAS'!M56+'COEF DIST TEN'!AO56</f>
        <v>63476403.748856291</v>
      </c>
      <c r="E55" s="8">
        <f t="shared" si="3"/>
        <v>263756.40111660957</v>
      </c>
      <c r="F55" s="211">
        <f t="shared" si="4"/>
        <v>4.1725257868992071E-3</v>
      </c>
      <c r="G55" s="8">
        <f t="shared" si="5"/>
        <v>0</v>
      </c>
      <c r="H55" s="8">
        <f t="shared" si="6"/>
        <v>0</v>
      </c>
      <c r="I55" s="8">
        <f t="shared" si="7"/>
        <v>63476403.748856291</v>
      </c>
      <c r="J55" s="8">
        <f t="shared" si="10"/>
        <v>263756.40111660957</v>
      </c>
      <c r="K55" s="8">
        <f t="shared" si="8"/>
        <v>263756.40108906809</v>
      </c>
      <c r="L55" s="8">
        <f t="shared" si="11"/>
        <v>63212647.347767226</v>
      </c>
      <c r="M55" s="211">
        <f t="shared" si="12"/>
        <v>3.0927390350449252E-2</v>
      </c>
      <c r="N55" s="163">
        <f t="shared" si="9"/>
        <v>1.0140057045536395E-2</v>
      </c>
    </row>
    <row r="56" spans="1:14" ht="12.75" customHeight="1">
      <c r="A56" s="7" t="s">
        <v>50</v>
      </c>
      <c r="B56" s="8">
        <v>17568707.378538739</v>
      </c>
      <c r="C56" s="8">
        <f t="shared" si="0"/>
        <v>18112061.649579734</v>
      </c>
      <c r="D56" s="8">
        <f>+'COEF DIST PART'!AR57+'COEF DIST GASOLINAS'!M57+'COEF DIST TEN'!AO57</f>
        <v>15292719.828463765</v>
      </c>
      <c r="E56" s="8">
        <f t="shared" si="3"/>
        <v>-2819341.8211159687</v>
      </c>
      <c r="F56" s="211">
        <f t="shared" si="4"/>
        <v>-0.15566101063825541</v>
      </c>
      <c r="G56" s="8">
        <f t="shared" si="5"/>
        <v>18112061.649579734</v>
      </c>
      <c r="H56" s="8">
        <f t="shared" si="6"/>
        <v>2819341.8211159687</v>
      </c>
      <c r="I56" s="8">
        <f t="shared" si="7"/>
        <v>0</v>
      </c>
      <c r="J56" s="8">
        <f t="shared" si="10"/>
        <v>0</v>
      </c>
      <c r="K56" s="8">
        <f t="shared" si="8"/>
        <v>0</v>
      </c>
      <c r="L56" s="8">
        <f t="shared" si="11"/>
        <v>18112061.649579734</v>
      </c>
      <c r="M56" s="211">
        <f t="shared" si="12"/>
        <v>3.0927390350000108E-2</v>
      </c>
      <c r="N56" s="163">
        <f t="shared" si="9"/>
        <v>2.9053891277264722E-3</v>
      </c>
    </row>
    <row r="57" spans="1:14" ht="12.75" customHeight="1">
      <c r="A57" s="7" t="s">
        <v>51</v>
      </c>
      <c r="B57" s="8">
        <v>24217783.289892491</v>
      </c>
      <c r="C57" s="8">
        <f t="shared" si="0"/>
        <v>24966776.127110705</v>
      </c>
      <c r="D57" s="8">
        <f>+'COEF DIST PART'!AR58+'COEF DIST GASOLINAS'!M58+'COEF DIST TEN'!AO58</f>
        <v>10757504.551874528</v>
      </c>
      <c r="E57" s="8">
        <f t="shared" si="3"/>
        <v>-14209271.575236177</v>
      </c>
      <c r="F57" s="211">
        <f t="shared" si="4"/>
        <v>-0.56912720740931932</v>
      </c>
      <c r="G57" s="8">
        <f t="shared" si="5"/>
        <v>24966776.127110705</v>
      </c>
      <c r="H57" s="8">
        <f t="shared" si="6"/>
        <v>14209271.575236177</v>
      </c>
      <c r="I57" s="8">
        <f t="shared" si="7"/>
        <v>0</v>
      </c>
      <c r="J57" s="8">
        <f t="shared" si="10"/>
        <v>0</v>
      </c>
      <c r="K57" s="8">
        <f t="shared" si="8"/>
        <v>0</v>
      </c>
      <c r="L57" s="8">
        <f t="shared" si="11"/>
        <v>24966776.127110705</v>
      </c>
      <c r="M57" s="211">
        <f t="shared" si="12"/>
        <v>3.0927390350000063E-2</v>
      </c>
      <c r="N57" s="163">
        <f t="shared" si="9"/>
        <v>4.0049664868367666E-3</v>
      </c>
    </row>
    <row r="58" spans="1:14" s="14" customFormat="1" ht="16.5" customHeight="1" thickBot="1">
      <c r="A58" s="11" t="s">
        <v>52</v>
      </c>
      <c r="B58" s="12">
        <f>SUM(B7:B57)</f>
        <v>6046937813.1940517</v>
      </c>
      <c r="C58" s="12">
        <f>SUM(C7:C57)</f>
        <v>6233953819.3648787</v>
      </c>
      <c r="D58" s="12">
        <f>SUM(D7:D57)</f>
        <v>6233953819.3814344</v>
      </c>
      <c r="E58" s="12">
        <f>SUM(E7:E57)</f>
        <v>1.6556307673454285E-2</v>
      </c>
      <c r="F58" s="212">
        <f t="shared" si="4"/>
        <v>2.6557441092015051E-12</v>
      </c>
      <c r="G58" s="12">
        <f t="shared" ref="G58:L58" si="13">SUM(G7:G57)</f>
        <v>2318914293.1974573</v>
      </c>
      <c r="H58" s="13">
        <f t="shared" si="13"/>
        <v>158554824.35448346</v>
      </c>
      <c r="I58" s="12">
        <f t="shared" si="13"/>
        <v>4073594350.5384588</v>
      </c>
      <c r="J58" s="12">
        <f t="shared" si="13"/>
        <v>158554824.37103975</v>
      </c>
      <c r="K58" s="13">
        <f t="shared" si="13"/>
        <v>158554824.35448343</v>
      </c>
      <c r="L58" s="12">
        <f t="shared" si="13"/>
        <v>6233953819.3814335</v>
      </c>
      <c r="M58" s="212">
        <f t="shared" si="12"/>
        <v>3.0927390352737571E-2</v>
      </c>
      <c r="N58" s="165">
        <f>SUM(N7:N57)</f>
        <v>1</v>
      </c>
    </row>
    <row r="59" spans="1:14" ht="13.5" thickTop="1">
      <c r="F59" s="10"/>
      <c r="G59" s="10"/>
      <c r="H59" s="10"/>
      <c r="I59" s="15"/>
      <c r="J59" s="10"/>
      <c r="K59" s="10"/>
      <c r="L59" s="16"/>
      <c r="M59" s="10"/>
      <c r="N59" s="17"/>
    </row>
    <row r="60" spans="1:14">
      <c r="A60" s="171" t="s">
        <v>241</v>
      </c>
      <c r="F60" s="18"/>
    </row>
    <row r="61" spans="1:14">
      <c r="A61" s="171" t="s">
        <v>252</v>
      </c>
      <c r="D61" s="248"/>
      <c r="E61" s="243"/>
    </row>
    <row r="65" spans="11:11">
      <c r="K65" s="239"/>
    </row>
  </sheetData>
  <mergeCells count="12">
    <mergeCell ref="A1:N1"/>
    <mergeCell ref="H3:H4"/>
    <mergeCell ref="A3:A4"/>
    <mergeCell ref="B3:B4"/>
    <mergeCell ref="D3:D4"/>
    <mergeCell ref="C3:C4"/>
    <mergeCell ref="N3:N4"/>
    <mergeCell ref="M3:M4"/>
    <mergeCell ref="L3:L4"/>
    <mergeCell ref="I3:I4"/>
    <mergeCell ref="E3:F4"/>
    <mergeCell ref="J3:J4"/>
  </mergeCells>
  <conditionalFormatting sqref="M7:M57">
    <cfRule type="cellIs" dxfId="0" priority="1" operator="lessThan">
      <formula>$G$4-0.00001</formula>
    </cfRule>
  </conditionalFormatting>
  <printOptions horizontalCentered="1" verticalCentered="1"/>
  <pageMargins left="0.78740157480314965" right="0.31496062992125984" top="7.874015748031496E-2" bottom="0.19685039370078741" header="0.11811023622047245" footer="0.15748031496062992"/>
  <pageSetup paperSize="5" scale="65" orientation="landscape" horizontalDpi="300" verticalDpi="300" r:id="rId1"/>
  <headerFooter alignWithMargins="0">
    <oddFooter>&amp;R&amp;8&amp;D
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0"/>
  <sheetViews>
    <sheetView showGridLines="0" zoomScaleNormal="100" zoomScaleSheetLayoutView="100" workbookViewId="0">
      <selection activeCell="P21" sqref="P21"/>
    </sheetView>
  </sheetViews>
  <sheetFormatPr baseColWidth="10" defaultColWidth="11.42578125" defaultRowHeight="12.75"/>
  <cols>
    <col min="1" max="1" width="14.140625" style="20" customWidth="1"/>
    <col min="2" max="2" width="14.85546875" style="21" bestFit="1" customWidth="1"/>
    <col min="3" max="6" width="14.85546875" style="20" bestFit="1" customWidth="1"/>
    <col min="7" max="9" width="13.85546875" style="20" bestFit="1" customWidth="1"/>
    <col min="10" max="10" width="14" style="20" customWidth="1"/>
    <col min="11" max="12" width="13.85546875" style="20" bestFit="1" customWidth="1"/>
    <col min="13" max="13" width="16.5703125" style="20" bestFit="1" customWidth="1"/>
    <col min="14" max="15" width="13.7109375" style="20" bestFit="1" customWidth="1"/>
    <col min="16" max="16" width="14.7109375" style="20" bestFit="1" customWidth="1"/>
    <col min="17" max="17" width="11.42578125" style="20"/>
    <col min="18" max="18" width="11.42578125" style="20" customWidth="1"/>
    <col min="19" max="19" width="14.42578125" style="20" customWidth="1"/>
    <col min="20" max="20" width="12.7109375" style="20" customWidth="1"/>
    <col min="21" max="21" width="15.5703125" style="20" bestFit="1" customWidth="1"/>
    <col min="22" max="22" width="16" style="20" bestFit="1" customWidth="1"/>
    <col min="23" max="24" width="15.5703125" style="20" bestFit="1" customWidth="1"/>
    <col min="25" max="25" width="13.7109375" style="20" bestFit="1" customWidth="1"/>
    <col min="26" max="26" width="13" style="20" bestFit="1" customWidth="1"/>
    <col min="27" max="27" width="14" style="20" bestFit="1" customWidth="1"/>
    <col min="28" max="30" width="13.7109375" style="20" bestFit="1" customWidth="1"/>
    <col min="31" max="31" width="14" style="20" bestFit="1" customWidth="1"/>
    <col min="32" max="32" width="14.42578125" style="20" bestFit="1" customWidth="1"/>
    <col min="33" max="33" width="13.7109375" style="20" bestFit="1" customWidth="1"/>
    <col min="34" max="34" width="15.85546875" style="20" customWidth="1"/>
    <col min="35" max="35" width="12.7109375" style="20" bestFit="1" customWidth="1"/>
    <col min="36" max="16384" width="11.42578125" style="20"/>
  </cols>
  <sheetData>
    <row r="1" spans="1:16" ht="18">
      <c r="A1" s="276" t="s">
        <v>222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>
      <c r="B2" s="20"/>
    </row>
    <row r="3" spans="1:16" ht="15.75">
      <c r="A3" s="223" t="s">
        <v>223</v>
      </c>
      <c r="B3" s="20"/>
    </row>
    <row r="4" spans="1:16" ht="25.5">
      <c r="A4" s="231" t="s">
        <v>206</v>
      </c>
      <c r="B4" s="222" t="s">
        <v>191</v>
      </c>
      <c r="C4" s="222" t="s">
        <v>192</v>
      </c>
      <c r="D4" s="222" t="s">
        <v>193</v>
      </c>
      <c r="E4" s="222" t="s">
        <v>194</v>
      </c>
      <c r="F4" s="222" t="s">
        <v>195</v>
      </c>
      <c r="G4" s="222" t="s">
        <v>196</v>
      </c>
      <c r="H4" s="222" t="s">
        <v>197</v>
      </c>
      <c r="I4" s="222" t="s">
        <v>198</v>
      </c>
      <c r="J4" s="222" t="s">
        <v>199</v>
      </c>
      <c r="K4" s="222" t="s">
        <v>200</v>
      </c>
      <c r="L4" s="222" t="s">
        <v>201</v>
      </c>
      <c r="M4" s="222" t="s">
        <v>202</v>
      </c>
      <c r="N4" s="229" t="s">
        <v>204</v>
      </c>
    </row>
    <row r="5" spans="1:16" ht="13.5" customHeight="1">
      <c r="A5" s="221" t="s">
        <v>184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30">
        <f t="shared" ref="N5:N11" si="0">SUM(B5:M5)</f>
        <v>0</v>
      </c>
      <c r="O5" s="218"/>
    </row>
    <row r="6" spans="1:16" ht="13.5" customHeight="1">
      <c r="A6" s="220" t="s">
        <v>185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30">
        <f t="shared" si="0"/>
        <v>0</v>
      </c>
      <c r="O6" s="218"/>
    </row>
    <row r="7" spans="1:16" ht="13.5" customHeight="1">
      <c r="A7" s="220" t="s">
        <v>186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30">
        <f t="shared" si="0"/>
        <v>0</v>
      </c>
      <c r="O7" s="218"/>
    </row>
    <row r="8" spans="1:16" ht="13.5" customHeight="1">
      <c r="A8" s="220" t="s">
        <v>217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30">
        <f t="shared" si="0"/>
        <v>0</v>
      </c>
      <c r="O8" s="218"/>
    </row>
    <row r="9" spans="1:16" ht="13.5" customHeight="1">
      <c r="A9" s="220" t="s">
        <v>188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30">
        <f t="shared" si="0"/>
        <v>0</v>
      </c>
      <c r="O9" s="218"/>
    </row>
    <row r="10" spans="1:16" ht="13.5" customHeight="1">
      <c r="A10" s="220" t="s">
        <v>190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30">
        <f t="shared" si="0"/>
        <v>0</v>
      </c>
      <c r="O10" s="218"/>
    </row>
    <row r="11" spans="1:16" ht="13.5" customHeight="1">
      <c r="A11" s="220" t="s">
        <v>189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30">
        <f t="shared" si="0"/>
        <v>0</v>
      </c>
      <c r="O11" s="218"/>
    </row>
    <row r="12" spans="1:16" ht="13.5" customHeight="1">
      <c r="A12" s="227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18"/>
      <c r="O12" s="218"/>
    </row>
    <row r="13" spans="1:16" ht="13.5" customHeight="1">
      <c r="A13" s="223" t="s">
        <v>224</v>
      </c>
      <c r="B13" s="20"/>
    </row>
    <row r="14" spans="1:16" ht="13.5" customHeight="1">
      <c r="A14" s="231" t="s">
        <v>206</v>
      </c>
      <c r="B14" s="222" t="s">
        <v>191</v>
      </c>
      <c r="C14" s="222" t="s">
        <v>192</v>
      </c>
      <c r="D14" s="222" t="s">
        <v>193</v>
      </c>
      <c r="E14" s="222" t="s">
        <v>194</v>
      </c>
      <c r="F14" s="222" t="s">
        <v>195</v>
      </c>
      <c r="G14" s="222" t="s">
        <v>196</v>
      </c>
      <c r="H14" s="222" t="s">
        <v>197</v>
      </c>
      <c r="I14" s="222" t="s">
        <v>198</v>
      </c>
      <c r="J14" s="222" t="s">
        <v>199</v>
      </c>
      <c r="K14" s="222" t="s">
        <v>200</v>
      </c>
      <c r="L14" s="222" t="s">
        <v>201</v>
      </c>
      <c r="M14" s="222" t="s">
        <v>202</v>
      </c>
      <c r="N14" s="229" t="s">
        <v>209</v>
      </c>
      <c r="O14" s="229" t="s">
        <v>203</v>
      </c>
      <c r="P14" s="229" t="s">
        <v>210</v>
      </c>
    </row>
    <row r="15" spans="1:16" ht="13.5" customHeight="1">
      <c r="A15" s="221" t="s">
        <v>184</v>
      </c>
      <c r="B15" s="217">
        <v>1779138031</v>
      </c>
      <c r="C15" s="217">
        <v>2116340570</v>
      </c>
      <c r="D15" s="217">
        <v>1669428446</v>
      </c>
      <c r="E15" s="217">
        <v>1790278986</v>
      </c>
      <c r="F15" s="217">
        <v>1807995090</v>
      </c>
      <c r="G15" s="217">
        <v>1797748106</v>
      </c>
      <c r="H15" s="217">
        <v>1816246688</v>
      </c>
      <c r="I15" s="217">
        <v>1795726362</v>
      </c>
      <c r="J15" s="217">
        <v>1850613198</v>
      </c>
      <c r="K15" s="217">
        <v>1793827148</v>
      </c>
      <c r="L15" s="217">
        <v>1770230494</v>
      </c>
      <c r="M15" s="217">
        <v>1752857389</v>
      </c>
      <c r="N15" s="217">
        <f>SUM(B15:G15)</f>
        <v>10960929229</v>
      </c>
      <c r="O15" s="230">
        <f t="shared" ref="O15:O21" si="1">SUM(H15:M15)</f>
        <v>10779501279</v>
      </c>
      <c r="P15" s="230">
        <f>SUM(N15:O15)</f>
        <v>21740430508</v>
      </c>
    </row>
    <row r="16" spans="1:16" ht="13.5" customHeight="1">
      <c r="A16" s="220" t="s">
        <v>185</v>
      </c>
      <c r="B16" s="217">
        <v>45393546</v>
      </c>
      <c r="C16" s="217">
        <v>50281994</v>
      </c>
      <c r="D16" s="217">
        <v>42612812</v>
      </c>
      <c r="E16" s="217">
        <v>45675928</v>
      </c>
      <c r="F16" s="217">
        <v>46124966</v>
      </c>
      <c r="G16" s="217">
        <v>42360742</v>
      </c>
      <c r="H16" s="217">
        <v>46334114</v>
      </c>
      <c r="I16" s="217">
        <v>45813999</v>
      </c>
      <c r="J16" s="217">
        <v>47205178</v>
      </c>
      <c r="K16" s="217">
        <v>44305965</v>
      </c>
      <c r="L16" s="217">
        <v>45167773</v>
      </c>
      <c r="M16" s="217">
        <v>44727428</v>
      </c>
      <c r="N16" s="217">
        <f>SUM(B16:G16)</f>
        <v>272449988</v>
      </c>
      <c r="O16" s="230">
        <f t="shared" si="1"/>
        <v>273554457</v>
      </c>
      <c r="P16" s="230">
        <f>SUM(N16:O16)</f>
        <v>546004445</v>
      </c>
    </row>
    <row r="17" spans="1:16" ht="13.5" customHeight="1">
      <c r="A17" s="220" t="s">
        <v>186</v>
      </c>
      <c r="B17" s="217">
        <v>62769251</v>
      </c>
      <c r="C17" s="217">
        <v>87920492</v>
      </c>
      <c r="D17" s="217">
        <v>52357368</v>
      </c>
      <c r="E17" s="217">
        <v>55661042</v>
      </c>
      <c r="F17" s="217">
        <v>54014037</v>
      </c>
      <c r="G17" s="217">
        <v>65296427</v>
      </c>
      <c r="H17" s="217">
        <v>68478570</v>
      </c>
      <c r="I17" s="217">
        <v>72638612</v>
      </c>
      <c r="J17" s="217">
        <v>69456108</v>
      </c>
      <c r="K17" s="217">
        <v>66844016</v>
      </c>
      <c r="L17" s="217">
        <v>65591642</v>
      </c>
      <c r="M17" s="217">
        <v>64562568</v>
      </c>
      <c r="N17" s="217">
        <f t="shared" ref="N17" si="2">SUM(B17:G17)</f>
        <v>378018617</v>
      </c>
      <c r="O17" s="230">
        <f t="shared" ref="O17" si="3">SUM(H17:M17)</f>
        <v>407571516</v>
      </c>
      <c r="P17" s="230">
        <f t="shared" ref="P17" si="4">SUM(N17:O17)</f>
        <v>785590133</v>
      </c>
    </row>
    <row r="18" spans="1:16" ht="13.5" customHeight="1">
      <c r="A18" s="220" t="s">
        <v>187</v>
      </c>
      <c r="B18" s="217">
        <v>93845837</v>
      </c>
      <c r="C18" s="217">
        <v>75298111</v>
      </c>
      <c r="D18" s="217">
        <v>75298111</v>
      </c>
      <c r="E18" s="217">
        <v>100356567</v>
      </c>
      <c r="F18" s="217">
        <v>75298111</v>
      </c>
      <c r="G18" s="217">
        <v>75298111</v>
      </c>
      <c r="H18" s="217">
        <v>92915595</v>
      </c>
      <c r="I18" s="217">
        <v>75298111</v>
      </c>
      <c r="J18" s="217">
        <v>75298111</v>
      </c>
      <c r="K18" s="217">
        <v>97885592</v>
      </c>
      <c r="L18" s="217">
        <v>75298111</v>
      </c>
      <c r="M18" s="217">
        <v>75298111</v>
      </c>
      <c r="N18" s="217">
        <f t="shared" ref="N18:N21" si="5">SUM(B18:G18)</f>
        <v>495394848</v>
      </c>
      <c r="O18" s="230">
        <f t="shared" si="1"/>
        <v>491993631</v>
      </c>
      <c r="P18" s="230">
        <f t="shared" ref="P18:P20" si="6">SUM(N18:O18)</f>
        <v>987388479</v>
      </c>
    </row>
    <row r="19" spans="1:16" ht="13.5" customHeight="1">
      <c r="A19" s="220" t="s">
        <v>188</v>
      </c>
      <c r="B19" s="217">
        <v>70106006</v>
      </c>
      <c r="C19" s="217">
        <v>54106483</v>
      </c>
      <c r="D19" s="217">
        <v>51143434</v>
      </c>
      <c r="E19" s="217">
        <v>55097201</v>
      </c>
      <c r="F19" s="217">
        <v>49971504</v>
      </c>
      <c r="G19" s="217">
        <v>52712354</v>
      </c>
      <c r="H19" s="217">
        <v>52586005</v>
      </c>
      <c r="I19" s="217">
        <v>51159028</v>
      </c>
      <c r="J19" s="217">
        <v>52667201</v>
      </c>
      <c r="K19" s="217">
        <v>50649797</v>
      </c>
      <c r="L19" s="217">
        <v>55108025</v>
      </c>
      <c r="M19" s="217">
        <v>58501234</v>
      </c>
      <c r="N19" s="217">
        <f t="shared" si="5"/>
        <v>333136982</v>
      </c>
      <c r="O19" s="230">
        <f t="shared" si="1"/>
        <v>320671290</v>
      </c>
      <c r="P19" s="230">
        <f t="shared" si="6"/>
        <v>653808272</v>
      </c>
    </row>
    <row r="20" spans="1:16" ht="13.5" customHeight="1">
      <c r="A20" s="220" t="s">
        <v>190</v>
      </c>
      <c r="B20" s="217">
        <v>92123561</v>
      </c>
      <c r="C20" s="217">
        <v>84876885</v>
      </c>
      <c r="D20" s="217">
        <v>78586950</v>
      </c>
      <c r="E20" s="217">
        <v>86942420</v>
      </c>
      <c r="F20" s="217">
        <v>83229054</v>
      </c>
      <c r="G20" s="217">
        <v>85936142</v>
      </c>
      <c r="H20" s="217">
        <v>85320662</v>
      </c>
      <c r="I20" s="217">
        <v>86842792</v>
      </c>
      <c r="J20" s="217">
        <v>84629628</v>
      </c>
      <c r="K20" s="217">
        <v>82542891</v>
      </c>
      <c r="L20" s="217">
        <v>87681924</v>
      </c>
      <c r="M20" s="217">
        <v>87544912</v>
      </c>
      <c r="N20" s="217">
        <f t="shared" si="5"/>
        <v>511695012</v>
      </c>
      <c r="O20" s="230">
        <f t="shared" si="1"/>
        <v>514562809</v>
      </c>
      <c r="P20" s="230">
        <f t="shared" si="6"/>
        <v>1026257821</v>
      </c>
    </row>
    <row r="21" spans="1:16" ht="13.5" customHeight="1">
      <c r="A21" s="220" t="s">
        <v>189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7">
        <f t="shared" si="5"/>
        <v>0</v>
      </c>
      <c r="O21" s="230">
        <f t="shared" si="1"/>
        <v>0</v>
      </c>
      <c r="P21" s="230">
        <v>2164181105.9381075</v>
      </c>
    </row>
    <row r="22" spans="1:16" ht="13.5" customHeight="1"/>
    <row r="23" spans="1:16" ht="13.5" customHeight="1">
      <c r="A23" s="223" t="s">
        <v>207</v>
      </c>
    </row>
    <row r="24" spans="1:16" ht="13.5" customHeight="1">
      <c r="A24" s="231" t="s">
        <v>206</v>
      </c>
      <c r="B24" s="233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P24" s="235" t="s">
        <v>205</v>
      </c>
    </row>
    <row r="25" spans="1:16" ht="13.5" customHeight="1">
      <c r="A25" s="221" t="s">
        <v>184</v>
      </c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P25" s="236">
        <f>+N5+O15</f>
        <v>10779501279</v>
      </c>
    </row>
    <row r="26" spans="1:16" ht="13.5" customHeight="1">
      <c r="A26" s="220" t="s">
        <v>185</v>
      </c>
      <c r="B26" s="23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P26" s="236">
        <f>+N6+O16</f>
        <v>273554457</v>
      </c>
    </row>
    <row r="27" spans="1:16" ht="13.5" customHeight="1">
      <c r="A27" s="220" t="s">
        <v>186</v>
      </c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P27" s="236">
        <f t="shared" ref="P27:P29" si="7">+N7+O17</f>
        <v>407571516</v>
      </c>
    </row>
    <row r="28" spans="1:16" ht="13.5" customHeight="1">
      <c r="A28" s="220" t="s">
        <v>187</v>
      </c>
      <c r="B28" s="233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P28" s="236">
        <f t="shared" si="7"/>
        <v>491993631</v>
      </c>
    </row>
    <row r="29" spans="1:16" ht="13.5" customHeight="1">
      <c r="A29" s="220" t="s">
        <v>188</v>
      </c>
      <c r="B29" s="233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P29" s="236">
        <f t="shared" si="7"/>
        <v>320671290</v>
      </c>
    </row>
    <row r="30" spans="1:16" ht="13.5" customHeight="1">
      <c r="A30" s="220" t="s">
        <v>190</v>
      </c>
      <c r="B30" s="233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P30" s="236">
        <f>+N10+O20</f>
        <v>514562809</v>
      </c>
    </row>
    <row r="31" spans="1:16" ht="13.5" customHeight="1">
      <c r="A31" s="220" t="s">
        <v>189</v>
      </c>
      <c r="B31" s="233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P31" s="236">
        <f>+N11+O21</f>
        <v>0</v>
      </c>
    </row>
    <row r="32" spans="1:16" ht="13.5" customHeight="1"/>
    <row r="33" spans="1:13" ht="13.5" customHeight="1">
      <c r="A33" s="237" t="s">
        <v>208</v>
      </c>
    </row>
    <row r="40" spans="1:13">
      <c r="M40" s="241"/>
    </row>
  </sheetData>
  <mergeCells count="1">
    <mergeCell ref="A1:P1"/>
  </mergeCells>
  <pageMargins left="0.78740157480314965" right="0.19685039370078741" top="0.15748031496062992" bottom="0.15748031496062992" header="0.15748031496062992" footer="0.15748031496062992"/>
  <pageSetup paperSize="5" scale="77" orientation="landscape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PARTICIPACIONES 2015</vt:lpstr>
      <vt:lpstr>COEF DIST PART</vt:lpstr>
      <vt:lpstr>COEF DIST GASOLINAS</vt:lpstr>
      <vt:lpstr>COEF DIST TEN</vt:lpstr>
      <vt:lpstr>CALCULO GARANTIA</vt:lpstr>
      <vt:lpstr>PART 1 SEM Y PEF</vt:lpstr>
      <vt:lpstr>'CALCULO GARANTIA'!Área_de_impresión</vt:lpstr>
      <vt:lpstr>'COEF DIST GASOLINAS'!Área_de_impresión</vt:lpstr>
      <vt:lpstr>'COEF DIST PART'!Área_de_impresión</vt:lpstr>
      <vt:lpstr>'COEF DIST TEN'!Área_de_impresión</vt:lpstr>
      <vt:lpstr>'PARTICIPACIONES 2015'!Área_de_impresión</vt:lpstr>
      <vt:lpstr>'COEF DIST PART'!Títulos_a_imprimir</vt:lpstr>
      <vt:lpstr>'COEF DIST TEN'!Títulos_a_imprimir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cesar.rivera</cp:lastModifiedBy>
  <cp:lastPrinted>2015-04-30T20:34:24Z</cp:lastPrinted>
  <dcterms:created xsi:type="dcterms:W3CDTF">2009-12-17T23:31:03Z</dcterms:created>
  <dcterms:modified xsi:type="dcterms:W3CDTF">2015-05-14T18:36:09Z</dcterms:modified>
</cp:coreProperties>
</file>